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 Anela\anela\za web\"/>
    </mc:Choice>
  </mc:AlternateContent>
  <bookViews>
    <workbookView xWindow="0" yWindow="0" windowWidth="2160" windowHeight="0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sastavnice-po izvorima" sheetId="16" r:id="rId6"/>
  </sheets>
  <externalReferences>
    <externalReference r:id="rId7"/>
  </externalReferences>
  <definedNames>
    <definedName name="_xlnm._FilterDatabase" localSheetId="1" hidden="1">'Plan za unos u SAP'!#REF!</definedName>
    <definedName name="_xlnm.Print_Area" localSheetId="1">'Plan za unos u SAP'!$A$1:$I$398</definedName>
  </definedNames>
  <calcPr calcId="162913"/>
</workbook>
</file>

<file path=xl/calcChain.xml><?xml version="1.0" encoding="utf-8"?>
<calcChain xmlns="http://schemas.openxmlformats.org/spreadsheetml/2006/main">
  <c r="G398" i="2" l="1"/>
  <c r="K370" i="2"/>
  <c r="I354" i="2"/>
  <c r="I394" i="2"/>
  <c r="I397" i="2"/>
  <c r="I396" i="2"/>
  <c r="H391" i="2"/>
  <c r="G391" i="2"/>
  <c r="H345" i="2"/>
  <c r="I345" i="2"/>
  <c r="G345" i="2"/>
  <c r="I182" i="2"/>
  <c r="I179" i="2"/>
  <c r="I174" i="2"/>
  <c r="I173" i="2"/>
  <c r="I172" i="2"/>
  <c r="I118" i="2"/>
  <c r="I117" i="2"/>
  <c r="I116" i="2"/>
  <c r="I106" i="2"/>
  <c r="I105" i="2"/>
  <c r="I104" i="2"/>
  <c r="H7" i="9"/>
  <c r="I16" i="9"/>
  <c r="H5" i="9"/>
  <c r="H8" i="12" l="1"/>
  <c r="G8" i="12"/>
  <c r="H6" i="12"/>
  <c r="G6" i="12"/>
  <c r="G13" i="12" l="1"/>
  <c r="G14" i="12"/>
  <c r="H14" i="12"/>
  <c r="I44" i="12"/>
  <c r="G44" i="12"/>
  <c r="D44" i="12"/>
  <c r="H12" i="12"/>
  <c r="G12" i="12"/>
  <c r="I10" i="12"/>
  <c r="H10" i="12"/>
  <c r="G10" i="12"/>
  <c r="G7" i="12"/>
  <c r="K85" i="2"/>
  <c r="K66" i="2"/>
  <c r="Q16" i="9" l="1"/>
  <c r="Q22" i="9"/>
  <c r="Q21" i="9"/>
  <c r="C18" i="10" l="1"/>
  <c r="C17" i="10"/>
  <c r="G258" i="2"/>
  <c r="H258" i="2"/>
  <c r="H214" i="2"/>
  <c r="H194" i="2"/>
  <c r="H179" i="2"/>
  <c r="H174" i="2"/>
  <c r="H135" i="2" l="1"/>
  <c r="H141" i="2"/>
  <c r="H137" i="2"/>
  <c r="H131" i="2"/>
  <c r="H119" i="2"/>
  <c r="H118" i="2"/>
  <c r="H116" i="2"/>
  <c r="H112" i="2"/>
  <c r="H156" i="2" l="1"/>
  <c r="H146" i="2"/>
  <c r="H143" i="2"/>
  <c r="H142" i="2"/>
  <c r="H138" i="2"/>
  <c r="H133" i="2"/>
  <c r="H132" i="2"/>
  <c r="H130" i="2"/>
  <c r="H129" i="2"/>
  <c r="H125" i="2"/>
  <c r="H123" i="2"/>
  <c r="H121" i="2"/>
  <c r="H117" i="2"/>
  <c r="H81" i="2"/>
  <c r="H79" i="2"/>
  <c r="H33" i="2"/>
  <c r="H9" i="2"/>
  <c r="H36" i="2"/>
  <c r="H35" i="2"/>
  <c r="H31" i="2"/>
  <c r="H30" i="2"/>
  <c r="H27" i="2"/>
  <c r="H23" i="2"/>
  <c r="H18" i="2"/>
  <c r="H8" i="2"/>
  <c r="H325" i="2" l="1"/>
  <c r="I325" i="2"/>
  <c r="G325" i="2"/>
  <c r="H272" i="2"/>
  <c r="I272" i="2"/>
  <c r="G272" i="2"/>
  <c r="H210" i="2"/>
  <c r="I210" i="2"/>
  <c r="G210" i="2"/>
  <c r="H190" i="2"/>
  <c r="I190" i="2"/>
  <c r="G190" i="2"/>
  <c r="H167" i="2"/>
  <c r="I167" i="2"/>
  <c r="G167" i="2"/>
  <c r="H103" i="2"/>
  <c r="I103" i="2"/>
  <c r="G103" i="2"/>
  <c r="H14" i="2"/>
  <c r="I14" i="2"/>
  <c r="I57" i="2"/>
  <c r="H57" i="2"/>
  <c r="G57" i="2"/>
  <c r="K26" i="16" l="1"/>
  <c r="Y26" i="16"/>
  <c r="AG10" i="16" l="1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D31" i="16"/>
  <c r="E31" i="16"/>
  <c r="C31" i="16"/>
  <c r="F10" i="16"/>
  <c r="S10" i="16" s="1"/>
  <c r="F11" i="16"/>
  <c r="S11" i="16" s="1"/>
  <c r="F12" i="16"/>
  <c r="S12" i="16" s="1"/>
  <c r="F13" i="16"/>
  <c r="S13" i="16" s="1"/>
  <c r="F14" i="16"/>
  <c r="S14" i="16" s="1"/>
  <c r="F15" i="16"/>
  <c r="S15" i="16" s="1"/>
  <c r="F16" i="16"/>
  <c r="S16" i="16" s="1"/>
  <c r="F17" i="16"/>
  <c r="S17" i="16" s="1"/>
  <c r="F18" i="16"/>
  <c r="S18" i="16" s="1"/>
  <c r="F19" i="16"/>
  <c r="S19" i="16" s="1"/>
  <c r="F20" i="16"/>
  <c r="S20" i="16" s="1"/>
  <c r="F21" i="16"/>
  <c r="S21" i="16" s="1"/>
  <c r="F22" i="16"/>
  <c r="S22" i="16" s="1"/>
  <c r="F23" i="16"/>
  <c r="S23" i="16" s="1"/>
  <c r="F24" i="16"/>
  <c r="S24" i="16" s="1"/>
  <c r="F25" i="16"/>
  <c r="S25" i="16" s="1"/>
  <c r="F26" i="16"/>
  <c r="S26" i="16" s="1"/>
  <c r="F27" i="16"/>
  <c r="S27" i="16" s="1"/>
  <c r="F28" i="16"/>
  <c r="S28" i="16" s="1"/>
  <c r="F29" i="16"/>
  <c r="S29" i="16" s="1"/>
  <c r="F30" i="16"/>
  <c r="S30" i="16" s="1"/>
  <c r="F9" i="16"/>
  <c r="AH28" i="16" l="1"/>
  <c r="AI28" i="16" s="1"/>
  <c r="AJ28" i="16" s="1"/>
  <c r="AH29" i="16"/>
  <c r="AI29" i="16"/>
  <c r="AJ29" i="16" s="1"/>
  <c r="AH24" i="16"/>
  <c r="AK24" i="16" s="1"/>
  <c r="AH25" i="16"/>
  <c r="AK25" i="16" s="1"/>
  <c r="AH21" i="16"/>
  <c r="AK21" i="16" s="1"/>
  <c r="AH20" i="16"/>
  <c r="AK20" i="16" s="1"/>
  <c r="AH17" i="16"/>
  <c r="AK17" i="16" s="1"/>
  <c r="AH16" i="16"/>
  <c r="AK16" i="16" s="1"/>
  <c r="AH13" i="16"/>
  <c r="AK13" i="16" s="1"/>
  <c r="AH12" i="16"/>
  <c r="AK12" i="16" s="1"/>
  <c r="AH27" i="16"/>
  <c r="AK27" i="16" s="1"/>
  <c r="AH23" i="16"/>
  <c r="AK23" i="16" s="1"/>
  <c r="AH19" i="16"/>
  <c r="AK19" i="16" s="1"/>
  <c r="AH15" i="16"/>
  <c r="AK15" i="16" s="1"/>
  <c r="AH11" i="16"/>
  <c r="AK11" i="16" s="1"/>
  <c r="AH30" i="16"/>
  <c r="AH26" i="16"/>
  <c r="AK26" i="16" s="1"/>
  <c r="AH22" i="16"/>
  <c r="AK22" i="16" s="1"/>
  <c r="AH18" i="16"/>
  <c r="AK18" i="16" s="1"/>
  <c r="AH14" i="16"/>
  <c r="AK14" i="16" s="1"/>
  <c r="AH10" i="16"/>
  <c r="AK10" i="16" s="1"/>
  <c r="AK28" i="16" l="1"/>
  <c r="AI30" i="16"/>
  <c r="AJ30" i="16" s="1"/>
  <c r="AK29" i="16"/>
  <c r="AK30" i="16" l="1"/>
  <c r="AJ31" i="16"/>
  <c r="AI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F31" i="16"/>
  <c r="S9" i="16"/>
  <c r="S31" i="16" s="1"/>
  <c r="AG9" i="16"/>
  <c r="C30" i="8"/>
  <c r="D30" i="8"/>
  <c r="AH9" i="16" l="1"/>
  <c r="AK9" i="16" s="1"/>
  <c r="AK31" i="16" s="1"/>
  <c r="AG31" i="16"/>
  <c r="E29" i="8"/>
  <c r="E30" i="8" s="1"/>
  <c r="F30" i="8"/>
  <c r="G30" i="8"/>
  <c r="D18" i="10"/>
  <c r="K29" i="8"/>
  <c r="N29" i="8" s="1"/>
  <c r="P29" i="8"/>
  <c r="O29" i="8"/>
  <c r="H383" i="2"/>
  <c r="I383" i="2"/>
  <c r="H386" i="2"/>
  <c r="I386" i="2"/>
  <c r="H380" i="2"/>
  <c r="I380" i="2"/>
  <c r="H377" i="2"/>
  <c r="I377" i="2"/>
  <c r="H369" i="2"/>
  <c r="I369" i="2"/>
  <c r="H360" i="2"/>
  <c r="I360" i="2"/>
  <c r="H357" i="2"/>
  <c r="I357" i="2"/>
  <c r="H353" i="2"/>
  <c r="I353" i="2"/>
  <c r="H340" i="2"/>
  <c r="I340" i="2"/>
  <c r="H307" i="2"/>
  <c r="I307" i="2"/>
  <c r="H293" i="2"/>
  <c r="I293" i="2"/>
  <c r="I308" i="2" s="1"/>
  <c r="H278" i="2"/>
  <c r="I278" i="2"/>
  <c r="G278" i="2"/>
  <c r="H245" i="2"/>
  <c r="I245" i="2"/>
  <c r="H241" i="2"/>
  <c r="H242" i="2" s="1"/>
  <c r="I241" i="2"/>
  <c r="H171" i="2"/>
  <c r="H191" i="2" s="1"/>
  <c r="I171" i="2"/>
  <c r="I191" i="2" s="1"/>
  <c r="K191" i="2" s="1"/>
  <c r="H115" i="2"/>
  <c r="H168" i="2" s="1"/>
  <c r="I115" i="2"/>
  <c r="H59" i="2"/>
  <c r="G386" i="2"/>
  <c r="G383" i="2"/>
  <c r="G380" i="2"/>
  <c r="G377" i="2"/>
  <c r="G369" i="2"/>
  <c r="G360" i="2"/>
  <c r="G357" i="2"/>
  <c r="G353" i="2"/>
  <c r="G340" i="2"/>
  <c r="G307" i="2"/>
  <c r="G293" i="2"/>
  <c r="G245" i="2"/>
  <c r="G241" i="2"/>
  <c r="G115" i="2"/>
  <c r="G14" i="2"/>
  <c r="I391" i="2" l="1"/>
  <c r="I393" i="2" s="1"/>
  <c r="K392" i="2"/>
  <c r="H273" i="2"/>
  <c r="I168" i="2"/>
  <c r="I59" i="2"/>
  <c r="I242" i="2"/>
  <c r="H308" i="2"/>
  <c r="G393" i="2"/>
  <c r="AH31" i="16"/>
  <c r="H29" i="8"/>
  <c r="G308" i="2"/>
  <c r="G168" i="2"/>
  <c r="G59" i="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R49" i="12"/>
  <c r="C50" i="12"/>
  <c r="D51" i="12"/>
  <c r="C51" i="12" s="1"/>
  <c r="E51" i="12"/>
  <c r="F51" i="12"/>
  <c r="G51" i="12"/>
  <c r="H51" i="12"/>
  <c r="I51" i="12"/>
  <c r="J51" i="12"/>
  <c r="K51" i="12"/>
  <c r="L51" i="12"/>
  <c r="M51" i="12"/>
  <c r="N51" i="12"/>
  <c r="O51" i="12"/>
  <c r="P51" i="12"/>
  <c r="R51" i="12"/>
  <c r="C52" i="12"/>
  <c r="C47" i="12"/>
  <c r="C31" i="12"/>
  <c r="P9" i="8"/>
  <c r="P10" i="8"/>
  <c r="P11" i="8"/>
  <c r="P12" i="8"/>
  <c r="P13" i="8"/>
  <c r="P14" i="8"/>
  <c r="P15" i="8"/>
  <c r="P16" i="8"/>
  <c r="P17" i="8"/>
  <c r="P19" i="8"/>
  <c r="P20" i="8"/>
  <c r="P21" i="8"/>
  <c r="P22" i="8"/>
  <c r="P23" i="8"/>
  <c r="P24" i="8"/>
  <c r="P25" i="8"/>
  <c r="P26" i="8"/>
  <c r="P27" i="8"/>
  <c r="P28" i="8"/>
  <c r="O9" i="8"/>
  <c r="O10" i="8"/>
  <c r="O11" i="8"/>
  <c r="O12" i="8"/>
  <c r="O13" i="8"/>
  <c r="O14" i="8"/>
  <c r="O15" i="8"/>
  <c r="O16" i="8"/>
  <c r="O17" i="8"/>
  <c r="O19" i="8"/>
  <c r="O20" i="8"/>
  <c r="O21" i="8"/>
  <c r="O22" i="8"/>
  <c r="O23" i="8"/>
  <c r="O24" i="8"/>
  <c r="O25" i="8"/>
  <c r="O26" i="8"/>
  <c r="O27" i="8"/>
  <c r="O28" i="8"/>
  <c r="P8" i="8"/>
  <c r="O8" i="8"/>
  <c r="I395" i="2" l="1"/>
  <c r="K395" i="2"/>
  <c r="I273" i="2"/>
  <c r="C49" i="12"/>
  <c r="K28" i="8"/>
  <c r="N28" i="8" s="1"/>
  <c r="K27" i="8"/>
  <c r="N27" i="8" s="1"/>
  <c r="K26" i="8"/>
  <c r="N26" i="8" s="1"/>
  <c r="K25" i="8"/>
  <c r="N25" i="8" s="1"/>
  <c r="K24" i="8"/>
  <c r="N24" i="8" s="1"/>
  <c r="K23" i="8"/>
  <c r="N23" i="8" s="1"/>
  <c r="K22" i="8"/>
  <c r="N22" i="8" s="1"/>
  <c r="K21" i="8"/>
  <c r="N21" i="8" s="1"/>
  <c r="K20" i="8"/>
  <c r="N20" i="8" s="1"/>
  <c r="K19" i="8"/>
  <c r="N19" i="8" s="1"/>
  <c r="K17" i="8"/>
  <c r="N17" i="8" s="1"/>
  <c r="K16" i="8"/>
  <c r="N16" i="8" s="1"/>
  <c r="K15" i="8"/>
  <c r="N15" i="8" s="1"/>
  <c r="K14" i="8"/>
  <c r="N14" i="8" s="1"/>
  <c r="K13" i="8"/>
  <c r="N13" i="8" s="1"/>
  <c r="K12" i="8"/>
  <c r="N12" i="8" s="1"/>
  <c r="K11" i="8"/>
  <c r="N11" i="8" s="1"/>
  <c r="K10" i="8"/>
  <c r="N10" i="8" s="1"/>
  <c r="K9" i="8"/>
  <c r="N9" i="8" s="1"/>
  <c r="K8" i="8"/>
  <c r="I398" i="2" l="1"/>
  <c r="N8" i="8"/>
  <c r="G171" i="2"/>
  <c r="G191" i="2" s="1"/>
  <c r="D17" i="10"/>
  <c r="J9" i="9"/>
  <c r="P9" i="9"/>
  <c r="R63" i="12" l="1"/>
  <c r="R59" i="12"/>
  <c r="R58" i="12" s="1"/>
  <c r="D22" i="10" s="1"/>
  <c r="R53" i="12"/>
  <c r="R42" i="12"/>
  <c r="R39" i="12"/>
  <c r="R33" i="12"/>
  <c r="R30" i="12"/>
  <c r="R23" i="12"/>
  <c r="R19" i="12"/>
  <c r="R15" i="12"/>
  <c r="R9" i="12"/>
  <c r="R5" i="12"/>
  <c r="S36" i="9"/>
  <c r="D21" i="10" s="1"/>
  <c r="S33" i="9"/>
  <c r="D10" i="10" s="1"/>
  <c r="S26" i="9"/>
  <c r="D9" i="10" s="1"/>
  <c r="J26" i="9"/>
  <c r="J33" i="9"/>
  <c r="J36" i="9"/>
  <c r="S37" i="9" l="1"/>
  <c r="J37" i="9"/>
  <c r="J6" i="9"/>
  <c r="J8" i="9" s="1"/>
  <c r="J10" i="9" s="1"/>
  <c r="S6" i="9"/>
  <c r="R38" i="12"/>
  <c r="D13" i="10" s="1"/>
  <c r="R4" i="12"/>
  <c r="D12" i="10" s="1"/>
  <c r="P63" i="12"/>
  <c r="P59" i="12"/>
  <c r="P53" i="12"/>
  <c r="P42" i="12"/>
  <c r="P39" i="12"/>
  <c r="P33" i="12"/>
  <c r="P30" i="12"/>
  <c r="P23" i="12"/>
  <c r="P19" i="12"/>
  <c r="P15" i="12"/>
  <c r="P9" i="12"/>
  <c r="P5" i="12"/>
  <c r="G63" i="12"/>
  <c r="N63" i="12"/>
  <c r="C61" i="12"/>
  <c r="O59" i="12"/>
  <c r="L59" i="12"/>
  <c r="I59" i="12"/>
  <c r="F59" i="12"/>
  <c r="D59" i="12"/>
  <c r="G59" i="12"/>
  <c r="H53" i="12"/>
  <c r="C55" i="12"/>
  <c r="N39" i="12"/>
  <c r="J39" i="12"/>
  <c r="G39" i="12"/>
  <c r="O39" i="12"/>
  <c r="L39" i="12"/>
  <c r="K39" i="12"/>
  <c r="I39" i="12"/>
  <c r="H39" i="12"/>
  <c r="H33" i="12"/>
  <c r="O30" i="12"/>
  <c r="K30" i="12"/>
  <c r="H30" i="12"/>
  <c r="D30" i="12"/>
  <c r="C27" i="12"/>
  <c r="C21" i="12"/>
  <c r="H19" i="12"/>
  <c r="M15" i="12"/>
  <c r="K15" i="12"/>
  <c r="F15" i="12"/>
  <c r="N9" i="12"/>
  <c r="J9" i="12"/>
  <c r="G9" i="12"/>
  <c r="O5" i="12"/>
  <c r="K5" i="12"/>
  <c r="H5" i="12"/>
  <c r="S8" i="9" l="1"/>
  <c r="R3" i="12"/>
  <c r="S10" i="9" s="1"/>
  <c r="P38" i="12"/>
  <c r="C13" i="10" s="1"/>
  <c r="O19" i="12"/>
  <c r="J23" i="12"/>
  <c r="C36" i="12"/>
  <c r="J59" i="12"/>
  <c r="P58" i="12"/>
  <c r="C22" i="10" s="1"/>
  <c r="G53" i="12"/>
  <c r="N53" i="12"/>
  <c r="H59" i="12"/>
  <c r="K59" i="12"/>
  <c r="F39" i="12"/>
  <c r="M39" i="12"/>
  <c r="D39" i="12"/>
  <c r="N59" i="12"/>
  <c r="N58" i="12" s="1"/>
  <c r="C65" i="12"/>
  <c r="J63" i="12"/>
  <c r="C68" i="12"/>
  <c r="F5" i="12"/>
  <c r="M5" i="12"/>
  <c r="H15" i="12"/>
  <c r="O15" i="12"/>
  <c r="G33" i="12"/>
  <c r="J33" i="12"/>
  <c r="N33" i="12"/>
  <c r="K53" i="12"/>
  <c r="O53" i="12"/>
  <c r="F63" i="12"/>
  <c r="F58" i="12" s="1"/>
  <c r="M63" i="12"/>
  <c r="P4" i="12"/>
  <c r="C12" i="10" s="1"/>
  <c r="K9" i="12"/>
  <c r="J15" i="12"/>
  <c r="G19" i="12"/>
  <c r="J19" i="12"/>
  <c r="N19" i="12"/>
  <c r="C25" i="12"/>
  <c r="C26" i="12"/>
  <c r="G30" i="12"/>
  <c r="J30" i="12"/>
  <c r="N30" i="12"/>
  <c r="F30" i="12"/>
  <c r="M30" i="12"/>
  <c r="D33" i="12"/>
  <c r="K33" i="12"/>
  <c r="O33" i="12"/>
  <c r="C41" i="12"/>
  <c r="Q41" i="12" s="1"/>
  <c r="F42" i="12"/>
  <c r="L42" i="12"/>
  <c r="M42" i="12"/>
  <c r="F53" i="12"/>
  <c r="M53" i="12"/>
  <c r="D63" i="12"/>
  <c r="H63" i="12"/>
  <c r="K63" i="12"/>
  <c r="O63" i="12"/>
  <c r="O58" i="12" s="1"/>
  <c r="C37" i="12"/>
  <c r="C7" i="12"/>
  <c r="Q7" i="12" s="1"/>
  <c r="D5" i="12"/>
  <c r="C11" i="12"/>
  <c r="Q11" i="12" s="1"/>
  <c r="C48" i="12"/>
  <c r="Q48" i="12" s="1"/>
  <c r="C57" i="12"/>
  <c r="D9" i="12"/>
  <c r="H9" i="12"/>
  <c r="O9" i="12"/>
  <c r="C29" i="12"/>
  <c r="Q29" i="12" s="1"/>
  <c r="C45" i="12"/>
  <c r="Q45" i="12" s="1"/>
  <c r="E42" i="12"/>
  <c r="J5" i="12"/>
  <c r="D42" i="12"/>
  <c r="C43" i="12"/>
  <c r="Q43" i="12" s="1"/>
  <c r="H42" i="12"/>
  <c r="H38" i="12" s="1"/>
  <c r="K42" i="12"/>
  <c r="O42" i="12"/>
  <c r="D53" i="12"/>
  <c r="C17" i="12"/>
  <c r="D15" i="12"/>
  <c r="D19" i="12"/>
  <c r="K19" i="12"/>
  <c r="D23" i="12"/>
  <c r="H23" i="12"/>
  <c r="K23" i="12"/>
  <c r="O23" i="12"/>
  <c r="G23" i="12"/>
  <c r="N23" i="12"/>
  <c r="C35" i="12"/>
  <c r="C46" i="12"/>
  <c r="Q46" i="12" s="1"/>
  <c r="I42" i="12"/>
  <c r="D58" i="12"/>
  <c r="M59" i="12"/>
  <c r="C67" i="12"/>
  <c r="F9" i="12"/>
  <c r="C14" i="12"/>
  <c r="Q14" i="12" s="1"/>
  <c r="C22" i="12"/>
  <c r="C8" i="12"/>
  <c r="Q8" i="12" s="1"/>
  <c r="C13" i="12"/>
  <c r="Q13" i="12" s="1"/>
  <c r="F23" i="12"/>
  <c r="M23" i="12"/>
  <c r="F33" i="12"/>
  <c r="M33" i="12"/>
  <c r="C44" i="12"/>
  <c r="Q44" i="12" s="1"/>
  <c r="C56" i="12"/>
  <c r="G58" i="12"/>
  <c r="C66" i="12"/>
  <c r="G5" i="12"/>
  <c r="N5" i="12"/>
  <c r="G15" i="12"/>
  <c r="N15" i="12"/>
  <c r="F19" i="12"/>
  <c r="M19" i="12"/>
  <c r="C28" i="12"/>
  <c r="C32" i="12"/>
  <c r="Q32" i="12" s="1"/>
  <c r="I30" i="12"/>
  <c r="L30" i="12"/>
  <c r="I53" i="12"/>
  <c r="L53" i="12"/>
  <c r="J53" i="12"/>
  <c r="C62" i="12"/>
  <c r="I63" i="12"/>
  <c r="I58" i="12" s="1"/>
  <c r="L63" i="12"/>
  <c r="L58" i="12" s="1"/>
  <c r="C18" i="12"/>
  <c r="Q18" i="12" s="1"/>
  <c r="C6" i="12"/>
  <c r="Q6" i="12" s="1"/>
  <c r="E5" i="12"/>
  <c r="I5" i="12"/>
  <c r="L5" i="12"/>
  <c r="C10" i="12"/>
  <c r="Q10" i="12" s="1"/>
  <c r="E9" i="12"/>
  <c r="I9" i="12"/>
  <c r="L9" i="12"/>
  <c r="C34" i="12"/>
  <c r="Q34" i="12" s="1"/>
  <c r="E33" i="12"/>
  <c r="I33" i="12"/>
  <c r="L33" i="12"/>
  <c r="C40" i="12"/>
  <c r="E39" i="12"/>
  <c r="G42" i="12"/>
  <c r="J42" i="12"/>
  <c r="N42" i="12"/>
  <c r="C54" i="12"/>
  <c r="Q54" i="12" s="1"/>
  <c r="E53" i="12"/>
  <c r="C16" i="12"/>
  <c r="E15" i="12"/>
  <c r="I15" i="12"/>
  <c r="L15" i="12"/>
  <c r="C20" i="12"/>
  <c r="E19" i="12"/>
  <c r="I19" i="12"/>
  <c r="L19" i="12"/>
  <c r="C24" i="12"/>
  <c r="E23" i="12"/>
  <c r="I23" i="12"/>
  <c r="L23" i="12"/>
  <c r="E30" i="12"/>
  <c r="C60" i="12"/>
  <c r="E59" i="12"/>
  <c r="C64" i="12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R29" i="9" s="1"/>
  <c r="M33" i="9"/>
  <c r="I33" i="9"/>
  <c r="E33" i="9"/>
  <c r="C22" i="9"/>
  <c r="R22" i="9" s="1"/>
  <c r="C18" i="9"/>
  <c r="C7" i="9"/>
  <c r="C5" i="9"/>
  <c r="E18" i="10" l="1"/>
  <c r="M18" i="8"/>
  <c r="M30" i="8" s="1"/>
  <c r="E17" i="10"/>
  <c r="L18" i="8"/>
  <c r="L30" i="8" s="1"/>
  <c r="H58" i="12"/>
  <c r="M38" i="12"/>
  <c r="G38" i="12"/>
  <c r="L38" i="12"/>
  <c r="J58" i="12"/>
  <c r="R5" i="9"/>
  <c r="R7" i="9"/>
  <c r="O38" i="12"/>
  <c r="J4" i="12"/>
  <c r="G4" i="12"/>
  <c r="F38" i="12"/>
  <c r="D38" i="12"/>
  <c r="C39" i="12"/>
  <c r="Q39" i="12" s="1"/>
  <c r="C13" i="9"/>
  <c r="R13" i="9" s="1"/>
  <c r="Q6" i="9"/>
  <c r="Q8" i="9" s="1"/>
  <c r="C11" i="9"/>
  <c r="R11" i="9" s="1"/>
  <c r="M58" i="12"/>
  <c r="K38" i="12"/>
  <c r="H4" i="12"/>
  <c r="N38" i="12"/>
  <c r="K58" i="12"/>
  <c r="P3" i="12"/>
  <c r="Q9" i="9" s="1"/>
  <c r="C53" i="12"/>
  <c r="Q53" i="12" s="1"/>
  <c r="O4" i="12"/>
  <c r="K4" i="12"/>
  <c r="N4" i="12"/>
  <c r="C63" i="12"/>
  <c r="F4" i="12"/>
  <c r="C23" i="12"/>
  <c r="Q23" i="12" s="1"/>
  <c r="C30" i="12"/>
  <c r="Q30" i="12" s="1"/>
  <c r="I38" i="12"/>
  <c r="D4" i="12"/>
  <c r="C19" i="12"/>
  <c r="C15" i="12"/>
  <c r="Q15" i="12" s="1"/>
  <c r="J38" i="12"/>
  <c r="E58" i="12"/>
  <c r="C59" i="12"/>
  <c r="L4" i="12"/>
  <c r="C33" i="12"/>
  <c r="Q33" i="12" s="1"/>
  <c r="I4" i="12"/>
  <c r="C42" i="12"/>
  <c r="Q42" i="12" s="1"/>
  <c r="C5" i="12"/>
  <c r="Q5" i="12" s="1"/>
  <c r="E4" i="12"/>
  <c r="E38" i="12"/>
  <c r="C14" i="9"/>
  <c r="R14" i="9" s="1"/>
  <c r="M26" i="9"/>
  <c r="M37" i="9" s="1"/>
  <c r="C17" i="9"/>
  <c r="R17" i="9" s="1"/>
  <c r="C21" i="9"/>
  <c r="R21" i="9" s="1"/>
  <c r="C25" i="9"/>
  <c r="R25" i="9" s="1"/>
  <c r="F33" i="9"/>
  <c r="N33" i="9"/>
  <c r="C28" i="9"/>
  <c r="C32" i="9"/>
  <c r="C35" i="9"/>
  <c r="Q37" i="9"/>
  <c r="E26" i="9"/>
  <c r="E6" i="9" s="1"/>
  <c r="E8" i="9" s="1"/>
  <c r="G26" i="9"/>
  <c r="K26" i="9"/>
  <c r="O26" i="9"/>
  <c r="F26" i="9"/>
  <c r="N26" i="9"/>
  <c r="C16" i="9"/>
  <c r="R16" i="9" s="1"/>
  <c r="C20" i="9"/>
  <c r="R20" i="9" s="1"/>
  <c r="C24" i="9"/>
  <c r="G33" i="9"/>
  <c r="K33" i="9"/>
  <c r="O33" i="9"/>
  <c r="O37" i="9" s="1"/>
  <c r="C31" i="9"/>
  <c r="I26" i="9"/>
  <c r="I6" i="9" s="1"/>
  <c r="I8" i="9" s="1"/>
  <c r="D26" i="9"/>
  <c r="H26" i="9"/>
  <c r="L26" i="9"/>
  <c r="P26" i="9"/>
  <c r="C15" i="9"/>
  <c r="R15" i="9" s="1"/>
  <c r="C19" i="9"/>
  <c r="C23" i="9"/>
  <c r="R23" i="9" s="1"/>
  <c r="D33" i="9"/>
  <c r="H33" i="9"/>
  <c r="L33" i="9"/>
  <c r="P33" i="9"/>
  <c r="C30" i="9"/>
  <c r="F36" i="9"/>
  <c r="N36" i="9"/>
  <c r="C12" i="9"/>
  <c r="R12" i="9" s="1"/>
  <c r="C34" i="9"/>
  <c r="C27" i="9"/>
  <c r="H3" i="12" l="1"/>
  <c r="H9" i="9" s="1"/>
  <c r="G3" i="12"/>
  <c r="G9" i="9" s="1"/>
  <c r="F3" i="12"/>
  <c r="F9" i="9" s="1"/>
  <c r="D3" i="12"/>
  <c r="D9" i="9" s="1"/>
  <c r="O3" i="12"/>
  <c r="C58" i="12"/>
  <c r="E22" i="10" s="1"/>
  <c r="Q10" i="9"/>
  <c r="L3" i="12"/>
  <c r="M9" i="9" s="1"/>
  <c r="C36" i="9"/>
  <c r="G37" i="9"/>
  <c r="M6" i="9"/>
  <c r="M8" i="9" s="1"/>
  <c r="L6" i="9"/>
  <c r="L8" i="9" s="1"/>
  <c r="J3" i="12"/>
  <c r="K9" i="9" s="1"/>
  <c r="I37" i="9"/>
  <c r="C26" i="9"/>
  <c r="E9" i="10" s="1"/>
  <c r="N3" i="12"/>
  <c r="O9" i="9" s="1"/>
  <c r="K3" i="12"/>
  <c r="L9" i="9" s="1"/>
  <c r="F6" i="9"/>
  <c r="F8" i="9" s="1"/>
  <c r="C33" i="9"/>
  <c r="E10" i="10" s="1"/>
  <c r="H6" i="9"/>
  <c r="H8" i="9" s="1"/>
  <c r="K37" i="9"/>
  <c r="N37" i="9"/>
  <c r="P37" i="9"/>
  <c r="D37" i="9"/>
  <c r="E37" i="9"/>
  <c r="D6" i="9"/>
  <c r="D8" i="9" s="1"/>
  <c r="F37" i="9"/>
  <c r="I3" i="12"/>
  <c r="I9" i="9" s="1"/>
  <c r="I10" i="9" s="1"/>
  <c r="C38" i="12"/>
  <c r="E13" i="10" s="1"/>
  <c r="E3" i="12"/>
  <c r="E9" i="9" s="1"/>
  <c r="E10" i="9" s="1"/>
  <c r="L37" i="9"/>
  <c r="N6" i="9"/>
  <c r="N8" i="9" s="1"/>
  <c r="O6" i="9"/>
  <c r="O8" i="9" s="1"/>
  <c r="H37" i="9"/>
  <c r="K6" i="9"/>
  <c r="K8" i="9" s="1"/>
  <c r="K10" i="9" s="1"/>
  <c r="P6" i="9"/>
  <c r="P8" i="9" s="1"/>
  <c r="P10" i="9" s="1"/>
  <c r="G6" i="9"/>
  <c r="G8" i="9" s="1"/>
  <c r="H10" i="9" l="1"/>
  <c r="F10" i="9"/>
  <c r="G10" i="9"/>
  <c r="O10" i="9"/>
  <c r="M10" i="9"/>
  <c r="L10" i="9"/>
  <c r="E21" i="10"/>
  <c r="R33" i="9"/>
  <c r="R26" i="9"/>
  <c r="Q38" i="12"/>
  <c r="C37" i="9"/>
  <c r="C6" i="9"/>
  <c r="R6" i="9" s="1"/>
  <c r="D10" i="9"/>
  <c r="C8" i="9"/>
  <c r="R8" i="9" s="1"/>
  <c r="R37" i="9" l="1"/>
  <c r="I18" i="8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D11" i="10"/>
  <c r="C11" i="10"/>
  <c r="K10" i="10"/>
  <c r="K9" i="10"/>
  <c r="K8" i="10"/>
  <c r="E8" i="10"/>
  <c r="D8" i="10"/>
  <c r="C8" i="10"/>
  <c r="K7" i="10"/>
  <c r="K6" i="10"/>
  <c r="K5" i="10"/>
  <c r="K4" i="10"/>
  <c r="K3" i="10"/>
  <c r="K2" i="10"/>
  <c r="I30" i="8" l="1"/>
  <c r="O30" i="8" s="1"/>
  <c r="O18" i="8"/>
  <c r="C14" i="10"/>
  <c r="C25" i="10" s="1"/>
  <c r="D14" i="10"/>
  <c r="D25" i="10" s="1"/>
  <c r="G242" i="2" l="1"/>
  <c r="H30" i="8" l="1"/>
  <c r="G273" i="2" l="1"/>
  <c r="K347" i="2" l="1"/>
  <c r="C12" i="12"/>
  <c r="Q12" i="12" s="1"/>
  <c r="M9" i="12"/>
  <c r="M4" i="12" s="1"/>
  <c r="G394" i="2" l="1"/>
  <c r="G395" i="2" s="1"/>
  <c r="C4" i="12"/>
  <c r="M3" i="12"/>
  <c r="C9" i="12"/>
  <c r="Q9" i="12" s="1"/>
  <c r="C3" i="12" l="1"/>
  <c r="N9" i="9"/>
  <c r="Q4" i="12"/>
  <c r="E12" i="10"/>
  <c r="E11" i="10" s="1"/>
  <c r="E14" i="10" s="1"/>
  <c r="E25" i="10" s="1"/>
  <c r="Q3" i="12" l="1"/>
  <c r="J18" i="8"/>
  <c r="C9" i="9"/>
  <c r="R9" i="9" s="1"/>
  <c r="N10" i="9"/>
  <c r="C10" i="9" s="1"/>
  <c r="J30" i="8" l="1"/>
  <c r="P30" i="8" s="1"/>
  <c r="P18" i="8"/>
  <c r="K18" i="8"/>
  <c r="N18" i="8" l="1"/>
  <c r="N30" i="8" s="1"/>
  <c r="K30" i="8"/>
</calcChain>
</file>

<file path=xl/sharedStrings.xml><?xml version="1.0" encoding="utf-8"?>
<sst xmlns="http://schemas.openxmlformats.org/spreadsheetml/2006/main" count="2753" uniqueCount="780">
  <si>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</si>
  <si>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</si>
  <si>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</si>
  <si>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</si>
  <si>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</si>
  <si>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</si>
  <si>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</si>
  <si>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</si>
  <si>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</si>
  <si>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</si>
  <si>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</si>
  <si>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</si>
  <si>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</si>
  <si>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</si>
  <si>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</si>
  <si>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</si>
  <si>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</si>
  <si>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</si>
  <si>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</si>
  <si>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</si>
  <si>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</si>
  <si>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</si>
  <si>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</si>
  <si>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</si>
  <si>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</si>
  <si>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</si>
  <si>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</si>
  <si>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</si>
  <si>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</si>
  <si>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</si>
  <si>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</si>
  <si>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</si>
  <si>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</si>
  <si>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</si>
  <si>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</si>
  <si>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</si>
  <si>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</si>
  <si>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</si>
  <si>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</si>
  <si>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</si>
  <si>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</si>
  <si>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</si>
  <si>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</si>
  <si>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</si>
  <si>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</si>
  <si>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</si>
  <si>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</si>
  <si>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</si>
  <si>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</si>
  <si>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</si>
  <si>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</si>
  <si>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</si>
  <si>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</si>
  <si>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</si>
  <si>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</si>
  <si>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</si>
  <si>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</si>
  <si>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</si>
  <si>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</si>
  <si>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</si>
  <si>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</si>
  <si>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</si>
  <si>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</si>
  <si>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</si>
  <si>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</si>
  <si>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</si>
  <si>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</si>
  <si>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</si>
  <si>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</si>
  <si>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</si>
  <si>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</si>
  <si>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</si>
  <si>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</si>
  <si>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</si>
  <si>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</si>
  <si>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</si>
  <si>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</si>
  <si>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</si>
  <si>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</si>
  <si>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</si>
  <si>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</si>
  <si>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</si>
  <si>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</si>
  <si>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</si>
  <si>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</si>
  <si>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</si>
  <si>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</si>
  <si>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</si>
  <si>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</si>
  <si>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</si>
  <si>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</si>
  <si>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</si>
  <si>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</si>
  <si>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</si>
  <si>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</si>
  <si>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Ostala prava</t>
  </si>
  <si>
    <t>Naknade za rad predstavničkih i izvršnih tijela, povjerensta</t>
  </si>
  <si>
    <t>Zatezne kamate</t>
  </si>
  <si>
    <t>Ostali nespomenuti financijski rashodi</t>
  </si>
  <si>
    <t>Dodatna ulaganja na postrojenjima i opremi</t>
  </si>
  <si>
    <t>Plaće u naravi</t>
  </si>
  <si>
    <t>Troškovi sudskih postupaka</t>
  </si>
  <si>
    <t>Tekuće donacije u naravi</t>
  </si>
  <si>
    <t>Sportska i glazbena oprema</t>
  </si>
  <si>
    <t>Prijevozna sredstva u cestovnom prometu</t>
  </si>
  <si>
    <t>u kunama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</si>
  <si>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</si>
  <si>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</si>
  <si>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</si>
  <si>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</si>
  <si>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</si>
  <si>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</si>
  <si>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</si>
  <si>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</si>
  <si>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</si>
  <si>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</si>
  <si>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</si>
  <si>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</si>
  <si>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</si>
  <si>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</si>
  <si>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</si>
  <si>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</si>
  <si>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</si>
  <si>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</si>
  <si>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</si>
  <si>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</si>
  <si>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</si>
  <si>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</si>
  <si>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</si>
  <si>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</si>
  <si>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</si>
  <si>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</si>
  <si>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</si>
  <si>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</si>
  <si>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</si>
  <si>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</si>
  <si>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</si>
  <si>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</si>
  <si>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</si>
  <si>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</si>
  <si>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</si>
  <si>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</si>
  <si>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</si>
  <si>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</si>
  <si>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</si>
  <si>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</si>
  <si>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</si>
  <si>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</si>
  <si>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</si>
  <si>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</si>
  <si>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</si>
  <si>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</si>
  <si>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</si>
  <si>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</si>
  <si>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</si>
  <si>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</si>
  <si>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</si>
  <si>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</si>
  <si>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</si>
  <si>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</si>
  <si>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</si>
  <si>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</si>
  <si>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</si>
  <si>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</si>
  <si>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</si>
  <si>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(povrati) glavnice zajmova danih neprofitnim organizacijama, građanima i kućanstvima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</si>
  <si>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</si>
  <si>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</si>
  <si>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</si>
  <si>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</si>
  <si>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</si>
  <si>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</si>
  <si>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</si>
  <si>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</si>
  <si>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</si>
  <si>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</si>
  <si>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</si>
  <si>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</si>
  <si>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</si>
  <si>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</si>
  <si>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</si>
  <si>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</si>
  <si>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</si>
  <si>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</si>
  <si>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</si>
  <si>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</si>
  <si>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</si>
  <si>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</si>
  <si>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</si>
  <si>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</si>
  <si>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</si>
  <si>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</si>
  <si>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</si>
  <si>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</si>
  <si>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</si>
  <si>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</si>
  <si>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</si>
  <si>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</si>
  <si>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</si>
  <si>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</si>
  <si>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</si>
  <si>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STROJARSKI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</si>
  <si>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</si>
  <si>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</si>
  <si>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</si>
  <si>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</si>
  <si>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</si>
  <si>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</si>
  <si>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</si>
  <si>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</si>
  <si>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STUC SLAVONSKI BROD</t>
  </si>
  <si>
    <t>19.</t>
  </si>
  <si>
    <t>20.</t>
  </si>
  <si>
    <t>21.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</si>
  <si>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</si>
  <si>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</si>
  <si>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</si>
  <si>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</si>
  <si>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</si>
  <si>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</si>
  <si>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</si>
  <si>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</si>
  <si>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</si>
  <si>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</si>
  <si>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</si>
  <si>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</si>
  <si>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</si>
  <si>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</si>
  <si>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</si>
  <si>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</si>
  <si>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</si>
  <si>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</si>
  <si>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</si>
  <si>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</si>
  <si>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</si>
  <si>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</si>
  <si>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</si>
  <si>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</si>
  <si>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</si>
  <si>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</si>
  <si>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</si>
  <si>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</si>
  <si>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</si>
  <si>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</si>
  <si>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</si>
  <si>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</si>
  <si>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</si>
  <si>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</si>
  <si>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</si>
  <si>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</si>
  <si>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</si>
  <si>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</si>
  <si>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</si>
  <si>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</si>
  <si>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</si>
  <si>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</si>
  <si>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</si>
  <si>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</si>
  <si>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</si>
  <si>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</si>
  <si>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</si>
  <si>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</si>
  <si>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</si>
  <si>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</si>
  <si>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</si>
  <si>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</si>
  <si>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</si>
  <si>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</si>
  <si>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</si>
  <si>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</si>
  <si>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</si>
  <si>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</si>
  <si>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</si>
  <si>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</si>
  <si>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</si>
  <si>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</si>
  <si>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</si>
  <si>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</si>
  <si>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</si>
  <si>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</si>
  <si>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</si>
  <si>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</si>
  <si>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</si>
  <si>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</si>
  <si>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</si>
  <si>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</si>
  <si>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</si>
  <si>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</si>
  <si>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</si>
  <si>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</si>
  <si>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</si>
  <si>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</si>
  <si>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</si>
  <si>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</si>
  <si>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</si>
  <si>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</si>
  <si>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</si>
  <si>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</si>
  <si>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</si>
  <si>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</si>
  <si>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</si>
  <si>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</si>
  <si>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</si>
  <si>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</si>
  <si>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</si>
  <si>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</si>
  <si>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</si>
  <si>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</si>
  <si>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</si>
  <si>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</si>
  <si>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</si>
  <si>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</si>
  <si>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</si>
  <si>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</si>
  <si>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</si>
  <si>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</si>
  <si>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</si>
  <si>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</si>
  <si>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</si>
  <si>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</si>
  <si>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</si>
  <si>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</si>
  <si>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</si>
  <si>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</si>
  <si>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</si>
  <si>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</si>
  <si>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</si>
  <si>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</si>
  <si>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</si>
  <si>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</si>
  <si>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</si>
  <si>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</si>
  <si>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</si>
  <si>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</si>
  <si>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</si>
  <si>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</si>
  <si>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</si>
  <si>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</si>
  <si>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</si>
  <si>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</si>
  <si>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</si>
  <si>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</si>
  <si>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</si>
  <si>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</si>
  <si>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</si>
  <si>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</si>
  <si>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</si>
  <si>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</si>
  <si>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</si>
  <si>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</si>
  <si>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</si>
  <si>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</si>
  <si>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</si>
  <si>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</si>
  <si>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</si>
  <si>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</si>
  <si>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</si>
  <si>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</si>
  <si>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</si>
  <si>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</si>
  <si>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</si>
  <si>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</si>
  <si>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</si>
  <si>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</si>
  <si>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</si>
  <si>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</si>
  <si>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</si>
  <si>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</si>
  <si>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</si>
  <si>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</si>
  <si>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</si>
  <si>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</si>
  <si>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</si>
  <si>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</si>
  <si>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</si>
  <si>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</si>
  <si>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</si>
  <si>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</si>
  <si>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</si>
  <si>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</si>
  <si>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</si>
  <si>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</si>
  <si>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</si>
  <si>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</si>
  <si>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</si>
  <si>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</si>
  <si>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</si>
  <si>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</si>
  <si>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</si>
  <si>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</si>
  <si>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</si>
  <si>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</si>
  <si>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</si>
  <si>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</si>
  <si>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</si>
  <si>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</si>
  <si>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</si>
  <si>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</si>
  <si>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</si>
  <si>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</si>
  <si>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</si>
  <si>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</si>
  <si>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</si>
  <si>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</si>
  <si>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</si>
  <si>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</si>
  <si>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</si>
  <si>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</si>
  <si>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</si>
  <si>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</si>
  <si>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</si>
  <si>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</si>
  <si>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</si>
  <si>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</si>
  <si>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</si>
  <si>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</si>
  <si>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</si>
  <si>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</si>
  <si>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</si>
  <si>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</si>
  <si>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</si>
  <si>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</si>
  <si>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</si>
  <si>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</si>
  <si>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</si>
  <si>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</si>
  <si>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</si>
  <si>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</si>
  <si>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</si>
  <si>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</si>
  <si>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</si>
  <si>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</si>
  <si>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</si>
  <si>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</si>
  <si>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</si>
  <si>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</si>
  <si>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</si>
  <si>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</si>
  <si>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</si>
  <si>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</si>
  <si>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</si>
  <si>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</si>
  <si>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</si>
  <si>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</si>
  <si>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</si>
  <si>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</si>
  <si>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</si>
  <si>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</si>
  <si>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</si>
  <si>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</si>
  <si>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</si>
  <si>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</si>
  <si>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</si>
  <si>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</si>
  <si>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</si>
  <si>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</si>
  <si>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</si>
  <si>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</si>
  <si>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</si>
  <si>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</si>
  <si>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</si>
  <si>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</si>
  <si>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</si>
  <si>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</si>
  <si>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</si>
  <si>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</si>
  <si>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</si>
  <si>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</si>
  <si>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</si>
  <si>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</si>
  <si>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</si>
  <si>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</si>
  <si>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</si>
  <si>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</si>
  <si>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</si>
  <si>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</si>
  <si>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</si>
  <si>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</si>
  <si>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</si>
  <si>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</si>
  <si>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</si>
  <si>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</si>
  <si>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</si>
  <si>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</si>
  <si>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</si>
  <si>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</si>
  <si>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</si>
  <si>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</si>
  <si>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</si>
  <si>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</si>
  <si>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</si>
  <si>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</si>
  <si>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</si>
  <si>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</si>
  <si>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</si>
  <si>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</si>
  <si>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</si>
  <si>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</si>
  <si>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</si>
  <si>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</si>
  <si>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</si>
  <si>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</si>
  <si>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</si>
  <si>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</si>
  <si>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</si>
  <si>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</si>
  <si>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</si>
  <si>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</si>
  <si>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</si>
  <si>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</si>
  <si>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</si>
  <si>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</si>
  <si>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</si>
  <si>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</si>
  <si>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</si>
  <si>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</si>
  <si>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</si>
  <si>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</si>
  <si>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</si>
  <si>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</si>
  <si>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</si>
  <si>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</si>
  <si>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</si>
  <si>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</si>
  <si>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</si>
  <si>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</si>
  <si>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</si>
  <si>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</si>
  <si>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</si>
  <si>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</si>
  <si>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</si>
  <si>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</si>
  <si>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</si>
  <si>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</si>
  <si>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</si>
  <si>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</si>
  <si>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</si>
  <si>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</si>
  <si>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</si>
  <si>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</si>
  <si>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</si>
  <si>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</si>
  <si>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</si>
  <si>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</si>
  <si>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</si>
  <si>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</si>
  <si>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</si>
  <si>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</si>
  <si>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</si>
  <si>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</si>
  <si>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</si>
  <si>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</si>
  <si>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</si>
  <si>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</si>
  <si>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</si>
  <si>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</si>
  <si>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</si>
  <si>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</si>
  <si>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</si>
  <si>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</si>
  <si>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</si>
  <si>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</si>
  <si>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</si>
  <si>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</si>
  <si>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</si>
  <si>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</si>
  <si>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</si>
  <si>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</si>
  <si>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</si>
  <si>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</si>
  <si>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</si>
  <si>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</si>
  <si>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</si>
  <si>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</si>
  <si>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</si>
  <si>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</si>
  <si>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</si>
  <si>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</si>
  <si>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</si>
  <si>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</si>
  <si>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</si>
  <si>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</si>
  <si>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</si>
  <si>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</si>
  <si>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</si>
  <si>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</si>
  <si>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</si>
  <si>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</si>
  <si>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</si>
  <si>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</si>
  <si>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</si>
  <si>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</si>
  <si>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</si>
  <si>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</si>
  <si>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</si>
  <si>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</si>
  <si>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</si>
  <si>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</si>
  <si>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</si>
  <si>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</si>
  <si>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</si>
  <si>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</si>
  <si>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</si>
  <si>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</si>
  <si>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</si>
  <si>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</si>
  <si>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</si>
  <si>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</si>
  <si>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</si>
  <si>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</si>
  <si>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</si>
  <si>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</si>
  <si>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</si>
  <si>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</si>
  <si>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</si>
  <si>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</si>
  <si>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</si>
  <si>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</si>
  <si>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</si>
  <si>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</si>
  <si>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</si>
  <si>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</si>
  <si>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</si>
  <si>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</si>
  <si>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</si>
  <si>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</si>
  <si>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</si>
  <si>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</si>
  <si>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r>
      <t xml:space="preserve">ODNOS </t>
    </r>
    <r>
      <rPr>
        <b/>
        <sz val="8"/>
        <rFont val="Calibri"/>
        <family val="2"/>
        <charset val="238"/>
      </rPr>
      <t>(unosi se s negativnim predznakom)</t>
    </r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</si>
  <si>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</si>
  <si>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</si>
  <si>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</si>
  <si>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</si>
  <si>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</si>
  <si>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</si>
  <si>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</si>
  <si>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</si>
  <si>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</si>
  <si>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</si>
  <si>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</si>
  <si>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</si>
  <si>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</si>
  <si>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</si>
  <si>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</si>
  <si>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</si>
  <si>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</si>
  <si>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</si>
  <si>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</si>
  <si>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</si>
  <si>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</si>
  <si>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</si>
  <si>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</si>
  <si>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</si>
  <si>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</si>
  <si>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</si>
  <si>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</si>
  <si>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</si>
  <si>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</si>
  <si>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</si>
  <si>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</si>
  <si>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</si>
  <si>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</si>
  <si>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</si>
  <si>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</si>
  <si>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</si>
  <si>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</si>
  <si>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</si>
  <si>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</si>
  <si>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</si>
  <si>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</si>
  <si>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</si>
  <si>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</si>
  <si>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</si>
  <si>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</si>
  <si>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</si>
  <si>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</si>
  <si>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</si>
  <si>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</si>
  <si>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</si>
  <si>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</si>
  <si>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</si>
  <si>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</si>
  <si>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</si>
  <si>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</si>
  <si>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</si>
  <si>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</si>
  <si>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</si>
  <si>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</si>
  <si>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</si>
  <si>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</si>
  <si>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OSTVARENJE 31.10.2019.</t>
  </si>
  <si>
    <t>SVEUČILIŠTE JOSIPA JURJA STROSSMAYERA U OSIJEKU</t>
  </si>
  <si>
    <t>IZMJENE I DOPUNE FINANCIJSKOG PLANA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</si>
  <si>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</si>
  <si>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</si>
  <si>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</si>
  <si>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</si>
  <si>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</si>
  <si>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</si>
  <si>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</si>
  <si>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</si>
  <si>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</si>
  <si>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SVEUKUPNO 11</t>
  </si>
  <si>
    <t>A679090</t>
  </si>
  <si>
    <t>A679071</t>
  </si>
  <si>
    <t>sveukupno 43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</si>
  <si>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</si>
  <si>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</si>
  <si>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</si>
  <si>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</si>
  <si>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</si>
  <si>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SVEUKUPNO</t>
  </si>
  <si>
    <t>K679084</t>
  </si>
  <si>
    <t>K679106</t>
  </si>
  <si>
    <t>sveukupno 12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</si>
  <si>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</si>
  <si>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</si>
  <si>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</si>
  <si>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</si>
  <si>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</si>
  <si>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</si>
  <si>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</si>
  <si>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</si>
  <si>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</si>
  <si>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</si>
  <si>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</si>
  <si>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</si>
  <si>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OSTVARENJE 31.10.2020.</t>
  </si>
  <si>
    <t>IZMJENE I DOPUNE 2020.</t>
  </si>
  <si>
    <t>Prihodi / rashodi</t>
  </si>
  <si>
    <t>Izvor</t>
  </si>
  <si>
    <t>Opis stavke</t>
  </si>
  <si>
    <t>Aktivnost</t>
  </si>
  <si>
    <t>IZMJENE I DOPUNE FINANCIJSKOG PLANA ZA  2020. GODINU</t>
  </si>
  <si>
    <t>PLAN 2020.</t>
  </si>
  <si>
    <t>IZMJENE PLANA  PRIHODA I PRIMITAKA ZA 2020. GODINU</t>
  </si>
  <si>
    <t>IZMJENE I DOPUNE PLANA 
UKUPNO za 2020.</t>
  </si>
  <si>
    <t>2020.</t>
  </si>
  <si>
    <t>PLAN ZA 2020.</t>
  </si>
  <si>
    <t>IZMJENE I DOPUNE FINANCIJSKOG PLANA RASHODA I IZDATAKA ZA 2020.  GODINU</t>
  </si>
  <si>
    <t>22.</t>
  </si>
  <si>
    <t xml:space="preserve">KINEZIOLOŠKI FAKULTET </t>
  </si>
  <si>
    <t>FINANCIJSKI PLAN 2020.</t>
  </si>
  <si>
    <t>IZMJENE I DOPUNE FINANCIJSKOG PLANA ZA 2020. GODINU</t>
  </si>
  <si>
    <t>Plan
za 2020.</t>
  </si>
  <si>
    <t>Ostvarenje 31.10.2020.</t>
  </si>
  <si>
    <t>Izmjene i dopune  plana 
za 2020.</t>
  </si>
  <si>
    <t>KONSOLIDIRANI PREGLED PRIHODA I RASHODA, PRIMITAKA I IZDATAKA ZA 2020. GODINU</t>
  </si>
  <si>
    <t xml:space="preserve">IZVOR </t>
  </si>
  <si>
    <t xml:space="preserve">         Opći prihodi i primici </t>
  </si>
  <si>
    <t xml:space="preserve">    Sredstva učešća za pomoći</t>
  </si>
  <si>
    <t xml:space="preserve">      Prihodi za posebne namjene </t>
  </si>
  <si>
    <t xml:space="preserve">                         Inozemne donacije </t>
  </si>
  <si>
    <t xml:space="preserve">          Vlastiti prihodi </t>
  </si>
  <si>
    <t xml:space="preserve">           Pomoći EU</t>
  </si>
  <si>
    <t xml:space="preserve">       Ostale pomoći </t>
  </si>
  <si>
    <t>Ostale refundacije iz sredstava EU</t>
  </si>
  <si>
    <t xml:space="preserve"> Europski fond za regionalni razvoj (EFRR)</t>
  </si>
  <si>
    <t xml:space="preserve">         Donacije </t>
  </si>
  <si>
    <t xml:space="preserve"> Prihodi od nefinancijske imovine i nadoknade šteta s osnova osiguranja</t>
  </si>
  <si>
    <t>Namjenski primici od zaduživanja</t>
  </si>
  <si>
    <t>IZVOR 11</t>
  </si>
  <si>
    <t>Opći prihodi i primici - redovna djelatnost</t>
  </si>
  <si>
    <t>Opći prihodi i primici - programsko financiranje</t>
  </si>
  <si>
    <t>Opći prihodi i primici - vježbaonice</t>
  </si>
  <si>
    <t>RAZLIKA  - VIŠAK / MANJAK (PRIHODI-RASHODI)</t>
  </si>
  <si>
    <t>UKUPNO 11</t>
  </si>
  <si>
    <t>FINANCIJSKI PLAN ZA 2020. GODINU - KONSOLIDIRANI PREGLED PRIHODA I RASHODA, PRIMITAKA I IZDATAKA  PO IZVORIMA</t>
  </si>
  <si>
    <t>eufams 2</t>
  </si>
  <si>
    <t>poam</t>
  </si>
  <si>
    <t>inspired</t>
  </si>
  <si>
    <t>pro bono</t>
  </si>
  <si>
    <t>Tekuće donacije iz EU sredstava</t>
  </si>
  <si>
    <t>dodan novi rashod</t>
  </si>
  <si>
    <t>dodan novi prihod</t>
  </si>
  <si>
    <t>Kapitalni prijenosi između proračunskih korisnika istog proračuna temeljem prijenosa EU sredstava</t>
  </si>
  <si>
    <t>Pomoći iz inozemstva i od subjekata unutar istog proračuna</t>
  </si>
  <si>
    <t>Prihodi od pozitivnih tečajnih razlika</t>
  </si>
  <si>
    <t>U Osijeku,   10. studenoga   2020.</t>
  </si>
  <si>
    <t xml:space="preserve">red djel iz 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</si>
</sst>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#,##0_ ;\-#,##0\ "/>
    <numFmt numFmtId="165" formatCode="#&quot;.&quot;"/>
    <numFmt numFmtId="166" formatCode="00000000"/>
  </numFmts>
  <fonts count="77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8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1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43" fontId="26" fillId="2" borderId="0" applyFont="0" applyFill="0" applyBorder="0" applyAlignment="0" applyProtection="0"/>
    <xf numFmtId="0" fontId="25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7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4" fillId="2" borderId="0"/>
    <xf numFmtId="0" fontId="24" fillId="2" borderId="0"/>
    <xf numFmtId="0" fontId="24" fillId="2" borderId="0"/>
    <xf numFmtId="0" fontId="35" fillId="2" borderId="0"/>
    <xf numFmtId="0" fontId="35" fillId="2" borderId="0"/>
    <xf numFmtId="0" fontId="24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61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9" borderId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7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7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7" fillId="41" borderId="0" applyNumberFormat="0" applyBorder="0" applyAlignment="0" applyProtection="0"/>
    <xf numFmtId="0" fontId="68" fillId="36" borderId="0" applyNumberFormat="0" applyBorder="0" applyAlignment="0" applyProtection="0"/>
    <xf numFmtId="0" fontId="68" fillId="42" borderId="0" applyNumberFormat="0" applyBorder="0" applyAlignment="0" applyProtection="0"/>
    <xf numFmtId="0" fontId="67" fillId="37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7" fillId="35" borderId="0" applyNumberFormat="0" applyBorder="0" applyAlignment="0" applyProtection="0"/>
    <xf numFmtId="0" fontId="68" fillId="17" borderId="0" applyNumberFormat="0" applyBorder="0" applyAlignment="0" applyProtection="0"/>
    <xf numFmtId="0" fontId="68" fillId="45" borderId="0" applyNumberFormat="0" applyBorder="0" applyAlignment="0" applyProtection="0"/>
    <xf numFmtId="0" fontId="67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4" fontId="71" fillId="7" borderId="31" applyNumberFormat="0" applyProtection="0">
      <alignment vertical="center"/>
    </xf>
    <xf numFmtId="0" fontId="64" fillId="6" borderId="79" applyNumberFormat="0" applyProtection="0">
      <alignment horizontal="left" vertical="top" indent="1"/>
    </xf>
    <xf numFmtId="4" fontId="8" fillId="5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6" applyNumberFormat="0" applyProtection="0">
      <alignment horizontal="right" vertical="center"/>
    </xf>
    <xf numFmtId="4" fontId="8" fillId="32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1" applyNumberFormat="0" applyProtection="0">
      <alignment horizontal="right" vertical="center"/>
    </xf>
    <xf numFmtId="4" fontId="8" fillId="31" borderId="31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5" borderId="31" applyNumberFormat="0" applyProtection="0">
      <alignment horizontal="right" vertical="center"/>
    </xf>
    <xf numFmtId="4" fontId="8" fillId="56" borderId="36" applyNumberFormat="0" applyProtection="0">
      <alignment horizontal="left" vertical="center" indent="1" justifyLastLine="1"/>
    </xf>
    <xf numFmtId="4" fontId="63" fillId="11" borderId="36" applyNumberFormat="0" applyProtection="0">
      <alignment horizontal="left" vertical="center" indent="1" justifyLastLine="1"/>
    </xf>
    <xf numFmtId="4" fontId="63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79" applyNumberFormat="0" applyProtection="0">
      <alignment horizontal="left" vertical="top" indent="1"/>
    </xf>
    <xf numFmtId="0" fontId="8" fillId="8" borderId="79" applyNumberFormat="0" applyProtection="0">
      <alignment horizontal="left" vertical="top" indent="1"/>
    </xf>
    <xf numFmtId="0" fontId="8" fillId="4" borderId="79" applyNumberFormat="0" applyProtection="0">
      <alignment horizontal="left" vertical="top" indent="1"/>
    </xf>
    <xf numFmtId="0" fontId="8" fillId="10" borderId="79" applyNumberFormat="0" applyProtection="0">
      <alignment horizontal="left" vertical="top" indent="1"/>
    </xf>
    <xf numFmtId="0" fontId="8" fillId="57" borderId="80" applyNumberFormat="0">
      <protection locked="0"/>
    </xf>
    <xf numFmtId="4" fontId="62" fillId="58" borderId="79" applyNumberFormat="0" applyProtection="0">
      <alignment vertical="center"/>
    </xf>
    <xf numFmtId="4" fontId="72" fillId="2" borderId="3" applyNumberFormat="0" applyProtection="0">
      <alignment vertical="center"/>
    </xf>
    <xf numFmtId="4" fontId="62" fillId="5" borderId="79" applyNumberFormat="0" applyProtection="0">
      <alignment horizontal="left" vertical="center" indent="1"/>
    </xf>
    <xf numFmtId="0" fontId="62" fillId="58" borderId="79" applyNumberFormat="0" applyProtection="0">
      <alignment horizontal="left" vertical="top" indent="1"/>
    </xf>
    <xf numFmtId="4" fontId="71" fillId="15" borderId="31" applyNumberFormat="0" applyProtection="0">
      <alignment horizontal="right" vertical="center"/>
    </xf>
    <xf numFmtId="0" fontId="62" fillId="8" borderId="79" applyNumberFormat="0" applyProtection="0">
      <alignment horizontal="left" vertical="top" indent="1"/>
    </xf>
    <xf numFmtId="4" fontId="65" fillId="59" borderId="36" applyNumberFormat="0" applyProtection="0">
      <alignment horizontal="left" vertical="center" indent="1" justifyLastLine="1"/>
    </xf>
    <xf numFmtId="0" fontId="72" fillId="2" borderId="3"/>
    <xf numFmtId="4" fontId="66" fillId="57" borderId="31" applyNumberFormat="0" applyProtection="0">
      <alignment horizontal="right" vertical="center"/>
    </xf>
    <xf numFmtId="0" fontId="70" fillId="2" borderId="0" applyNumberFormat="0" applyFill="0" applyBorder="0" applyAlignment="0" applyProtection="0"/>
  </cellStyleXfs>
  <cellXfs count="602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9" fillId="2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0" fontId="29" fillId="2" borderId="0" xfId="0" applyNumberFormat="1" applyFont="1" applyFill="1" applyBorder="1" applyAlignment="1" applyProtection="1">
      <alignment wrapText="1"/>
    </xf>
    <xf numFmtId="0" fontId="28" fillId="15" borderId="0" xfId="0" applyNumberFormat="1" applyFont="1" applyFill="1" applyBorder="1" applyAlignment="1" applyProtection="1">
      <alignment horizontal="center"/>
    </xf>
    <xf numFmtId="0" fontId="29" fillId="15" borderId="0" xfId="0" applyNumberFormat="1" applyFont="1" applyFill="1" applyBorder="1" applyAlignment="1" applyProtection="1">
      <alignment wrapText="1"/>
    </xf>
    <xf numFmtId="0" fontId="29" fillId="15" borderId="0" xfId="0" applyNumberFormat="1" applyFont="1" applyFill="1" applyBorder="1" applyAlignment="1" applyProtection="1"/>
    <xf numFmtId="0" fontId="33" fillId="2" borderId="0" xfId="20" applyFont="1" applyAlignment="1" applyProtection="1"/>
    <xf numFmtId="0" fontId="34" fillId="2" borderId="0" xfId="20" applyFont="1" applyAlignment="1" applyProtection="1">
      <alignment vertical="center"/>
    </xf>
    <xf numFmtId="0" fontId="36" fillId="2" borderId="0" xfId="20" applyFont="1" applyAlignment="1" applyProtection="1">
      <alignment vertical="center"/>
    </xf>
    <xf numFmtId="165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6" fontId="10" fillId="14" borderId="1" xfId="42" applyNumberFormat="1" applyFont="1" applyFill="1" applyBorder="1" applyAlignment="1" applyProtection="1">
      <alignment horizontal="center" vertical="center"/>
    </xf>
    <xf numFmtId="0" fontId="37" fillId="2" borderId="0" xfId="20" applyFont="1" applyAlignment="1" applyProtection="1">
      <alignment horizontal="left" vertical="center" wrapText="1"/>
    </xf>
    <xf numFmtId="0" fontId="38" fillId="16" borderId="35" xfId="20" applyFont="1" applyFill="1" applyBorder="1" applyAlignment="1" applyProtection="1">
      <alignment horizontal="center" vertical="center" wrapText="1"/>
    </xf>
    <xf numFmtId="0" fontId="30" fillId="2" borderId="36" xfId="20" applyFont="1" applyBorder="1" applyAlignment="1" applyProtection="1">
      <alignment horizontal="left" vertical="center" wrapText="1"/>
    </xf>
    <xf numFmtId="3" fontId="37" fillId="17" borderId="36" xfId="20" applyNumberFormat="1" applyFont="1" applyFill="1" applyBorder="1" applyAlignment="1" applyProtection="1">
      <alignment horizontal="right" vertical="center" wrapText="1"/>
    </xf>
    <xf numFmtId="0" fontId="30" fillId="2" borderId="36" xfId="20" applyFont="1" applyBorder="1" applyAlignment="1" applyProtection="1">
      <alignment horizontal="center" vertical="center" wrapText="1"/>
    </xf>
    <xf numFmtId="3" fontId="37" fillId="2" borderId="36" xfId="20" applyNumberFormat="1" applyFont="1" applyFill="1" applyBorder="1" applyAlignment="1" applyProtection="1">
      <alignment horizontal="right" vertical="center"/>
    </xf>
    <xf numFmtId="0" fontId="30" fillId="2" borderId="36" xfId="20" applyFont="1" applyBorder="1" applyAlignment="1" applyProtection="1">
      <alignment horizontal="left" vertical="center"/>
    </xf>
    <xf numFmtId="3" fontId="34" fillId="2" borderId="0" xfId="20" applyNumberFormat="1" applyFont="1" applyAlignment="1" applyProtection="1">
      <alignment vertical="center"/>
    </xf>
    <xf numFmtId="0" fontId="30" fillId="2" borderId="36" xfId="20" applyFont="1" applyBorder="1" applyAlignment="1" applyProtection="1">
      <alignment horizontal="center" vertical="center"/>
    </xf>
    <xf numFmtId="3" fontId="37" fillId="17" borderId="36" xfId="20" applyNumberFormat="1" applyFont="1" applyFill="1" applyBorder="1" applyAlignment="1" applyProtection="1">
      <alignment horizontal="right" vertical="center"/>
    </xf>
    <xf numFmtId="3" fontId="37" fillId="2" borderId="36" xfId="20" applyNumberFormat="1" applyFont="1" applyFill="1" applyBorder="1" applyAlignment="1" applyProtection="1">
      <alignment horizontal="right" vertical="center" wrapText="1"/>
    </xf>
    <xf numFmtId="3" fontId="30" fillId="2" borderId="36" xfId="20" applyNumberFormat="1" applyFont="1" applyFill="1" applyBorder="1" applyAlignment="1" applyProtection="1">
      <alignment horizontal="right" vertical="center" wrapText="1"/>
    </xf>
    <xf numFmtId="0" fontId="37" fillId="2" borderId="36" xfId="20" applyFont="1" applyBorder="1" applyAlignment="1" applyProtection="1">
      <alignment horizontal="left" vertical="center" wrapText="1"/>
    </xf>
    <xf numFmtId="3" fontId="37" fillId="2" borderId="0" xfId="20" applyNumberFormat="1" applyFont="1" applyAlignment="1" applyProtection="1">
      <alignment horizontal="right" vertical="center"/>
    </xf>
    <xf numFmtId="3" fontId="37" fillId="18" borderId="36" xfId="20" applyNumberFormat="1" applyFont="1" applyFill="1" applyBorder="1" applyAlignment="1" applyProtection="1">
      <alignment horizontal="right" vertical="center"/>
    </xf>
    <xf numFmtId="3" fontId="37" fillId="18" borderId="36" xfId="20" applyNumberFormat="1" applyFont="1" applyFill="1" applyBorder="1" applyAlignment="1" applyProtection="1">
      <alignment horizontal="right" vertical="center" wrapText="1"/>
    </xf>
    <xf numFmtId="3" fontId="31" fillId="2" borderId="0" xfId="20" applyNumberFormat="1" applyFont="1" applyAlignment="1" applyProtection="1">
      <alignment vertical="center"/>
    </xf>
    <xf numFmtId="0" fontId="38" fillId="16" borderId="35" xfId="20" applyFont="1" applyFill="1" applyBorder="1" applyAlignment="1" applyProtection="1">
      <alignment horizontal="left" vertical="center" wrapText="1"/>
    </xf>
    <xf numFmtId="3" fontId="38" fillId="16" borderId="35" xfId="20" applyNumberFormat="1" applyFont="1" applyFill="1" applyBorder="1" applyAlignment="1" applyProtection="1">
      <alignment horizontal="right" vertical="center"/>
    </xf>
    <xf numFmtId="8" fontId="34" fillId="2" borderId="0" xfId="20" applyNumberFormat="1" applyFont="1" applyAlignment="1" applyProtection="1">
      <alignment vertical="center"/>
    </xf>
    <xf numFmtId="0" fontId="32" fillId="2" borderId="0" xfId="20" applyFont="1" applyProtection="1"/>
    <xf numFmtId="0" fontId="32" fillId="2" borderId="0" xfId="20" applyFont="1" applyAlignment="1" applyProtection="1">
      <alignment vertical="center"/>
    </xf>
    <xf numFmtId="166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6" fontId="10" fillId="14" borderId="1" xfId="5" applyNumberFormat="1" applyFont="1" applyFill="1" applyBorder="1" applyAlignment="1" applyProtection="1">
      <alignment horizontal="left" vertical="center"/>
    </xf>
    <xf numFmtId="165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7" fillId="2" borderId="0" xfId="0" applyFont="1" applyFill="1"/>
    <xf numFmtId="1" fontId="22" fillId="2" borderId="0" xfId="5" applyNumberFormat="1" applyFont="1" applyAlignment="1" applyProtection="1">
      <alignment vertical="center" wrapText="1"/>
    </xf>
    <xf numFmtId="0" fontId="22" fillId="2" borderId="0" xfId="5" applyFont="1" applyAlignment="1" applyProtection="1">
      <alignment vertical="center"/>
    </xf>
    <xf numFmtId="0" fontId="22" fillId="2" borderId="0" xfId="5" applyFont="1" applyAlignment="1" applyProtection="1">
      <alignment horizontal="right" vertical="center"/>
    </xf>
    <xf numFmtId="1" fontId="42" fillId="12" borderId="35" xfId="5" applyNumberFormat="1" applyFont="1" applyFill="1" applyBorder="1" applyAlignment="1" applyProtection="1">
      <alignment horizontal="left" vertical="center" wrapText="1"/>
    </xf>
    <xf numFmtId="0" fontId="43" fillId="12" borderId="35" xfId="5" applyNumberFormat="1" applyFont="1" applyFill="1" applyBorder="1" applyAlignment="1" applyProtection="1">
      <alignment horizontal="center" vertical="center" wrapText="1"/>
    </xf>
    <xf numFmtId="0" fontId="42" fillId="12" borderId="35" xfId="5" applyFont="1" applyFill="1" applyBorder="1" applyAlignment="1" applyProtection="1">
      <alignment horizontal="center" vertical="center" wrapText="1"/>
    </xf>
    <xf numFmtId="0" fontId="43" fillId="12" borderId="35" xfId="5" applyFont="1" applyFill="1" applyBorder="1" applyAlignment="1" applyProtection="1">
      <alignment horizontal="center" vertical="center" wrapText="1"/>
    </xf>
    <xf numFmtId="0" fontId="42" fillId="12" borderId="44" xfId="5" applyFont="1" applyFill="1" applyBorder="1" applyAlignment="1" applyProtection="1">
      <alignment horizontal="center" vertical="center" wrapText="1"/>
    </xf>
    <xf numFmtId="0" fontId="22" fillId="2" borderId="1" xfId="38" applyFont="1" applyFill="1" applyBorder="1" applyAlignment="1" applyProtection="1">
      <alignment horizontal="left" vertical="center" wrapText="1"/>
    </xf>
    <xf numFmtId="3" fontId="42" fillId="12" borderId="35" xfId="5" applyNumberFormat="1" applyFont="1" applyFill="1" applyBorder="1" applyAlignment="1" applyProtection="1">
      <alignment horizontal="right"/>
    </xf>
    <xf numFmtId="3" fontId="44" fillId="2" borderId="1" xfId="5" applyNumberFormat="1" applyFont="1" applyFill="1" applyBorder="1" applyAlignment="1" applyProtection="1">
      <alignment vertical="center"/>
      <protection locked="0"/>
    </xf>
    <xf numFmtId="3" fontId="44" fillId="2" borderId="2" xfId="5" applyNumberFormat="1" applyFont="1" applyFill="1" applyBorder="1" applyAlignment="1" applyProtection="1">
      <alignment vertical="center"/>
      <protection locked="0"/>
    </xf>
    <xf numFmtId="0" fontId="21" fillId="20" borderId="1" xfId="38" applyFont="1" applyFill="1" applyBorder="1" applyAlignment="1" applyProtection="1">
      <alignment horizontal="left" vertical="center" wrapText="1"/>
    </xf>
    <xf numFmtId="3" fontId="41" fillId="20" borderId="1" xfId="5" applyNumberFormat="1" applyFont="1" applyFill="1" applyBorder="1" applyAlignment="1" applyProtection="1">
      <alignment vertical="center"/>
    </xf>
    <xf numFmtId="3" fontId="41" fillId="20" borderId="2" xfId="5" applyNumberFormat="1" applyFont="1" applyFill="1" applyBorder="1" applyAlignment="1" applyProtection="1">
      <alignment vertical="center"/>
    </xf>
    <xf numFmtId="164" fontId="44" fillId="2" borderId="1" xfId="5" applyNumberFormat="1" applyFont="1" applyFill="1" applyBorder="1" applyAlignment="1" applyProtection="1">
      <alignment vertical="center"/>
      <protection locked="0"/>
    </xf>
    <xf numFmtId="164" fontId="44" fillId="2" borderId="2" xfId="5" applyNumberFormat="1" applyFont="1" applyFill="1" applyBorder="1" applyAlignment="1" applyProtection="1">
      <alignment vertical="center"/>
      <protection locked="0"/>
    </xf>
    <xf numFmtId="0" fontId="22" fillId="2" borderId="34" xfId="38" applyFont="1" applyFill="1" applyBorder="1" applyAlignment="1" applyProtection="1">
      <alignment horizontal="left" vertical="center" wrapText="1"/>
    </xf>
    <xf numFmtId="3" fontId="44" fillId="20" borderId="34" xfId="5" applyNumberFormat="1" applyFont="1" applyFill="1" applyBorder="1" applyAlignment="1" applyProtection="1">
      <alignment vertical="center"/>
    </xf>
    <xf numFmtId="3" fontId="44" fillId="20" borderId="47" xfId="5" applyNumberFormat="1" applyFont="1" applyFill="1" applyBorder="1" applyAlignment="1" applyProtection="1">
      <alignment vertical="center"/>
    </xf>
    <xf numFmtId="0" fontId="22" fillId="2" borderId="14" xfId="38" applyFont="1" applyFill="1" applyBorder="1" applyAlignment="1" applyProtection="1">
      <alignment horizontal="left" vertical="center" wrapText="1"/>
    </xf>
    <xf numFmtId="3" fontId="42" fillId="12" borderId="46" xfId="5" applyNumberFormat="1" applyFont="1" applyFill="1" applyBorder="1" applyAlignment="1" applyProtection="1">
      <alignment horizontal="right"/>
    </xf>
    <xf numFmtId="3" fontId="44" fillId="2" borderId="14" xfId="5" applyNumberFormat="1" applyFont="1" applyFill="1" applyBorder="1" applyAlignment="1" applyProtection="1">
      <alignment vertical="center"/>
    </xf>
    <xf numFmtId="3" fontId="44" fillId="2" borderId="15" xfId="5" applyNumberFormat="1" applyFont="1" applyFill="1" applyBorder="1" applyAlignment="1" applyProtection="1">
      <alignment vertical="center"/>
    </xf>
    <xf numFmtId="0" fontId="23" fillId="20" borderId="1" xfId="38" applyFont="1" applyFill="1" applyBorder="1" applyAlignment="1" applyProtection="1">
      <alignment horizontal="left" vertical="center" wrapText="1"/>
    </xf>
    <xf numFmtId="3" fontId="45" fillId="20" borderId="1" xfId="5" applyNumberFormat="1" applyFont="1" applyFill="1" applyBorder="1" applyAlignment="1" applyProtection="1">
      <alignment vertical="center"/>
    </xf>
    <xf numFmtId="3" fontId="45" fillId="20" borderId="2" xfId="5" applyNumberFormat="1" applyFont="1" applyFill="1" applyBorder="1" applyAlignment="1" applyProtection="1">
      <alignment vertical="center"/>
    </xf>
    <xf numFmtId="0" fontId="44" fillId="2" borderId="1" xfId="39" applyFont="1" applyFill="1" applyBorder="1" applyAlignment="1" applyProtection="1">
      <alignment horizontal="left" wrapText="1"/>
    </xf>
    <xf numFmtId="0" fontId="22" fillId="2" borderId="1" xfId="40" applyFont="1" applyFill="1" applyBorder="1" applyAlignment="1" applyProtection="1">
      <alignment horizontal="left" vertical="center" wrapText="1"/>
    </xf>
    <xf numFmtId="1" fontId="42" fillId="12" borderId="35" xfId="5" applyNumberFormat="1" applyFont="1" applyFill="1" applyBorder="1" applyAlignment="1" applyProtection="1">
      <alignment horizontal="center" vertical="center" wrapText="1"/>
    </xf>
    <xf numFmtId="0" fontId="46" fillId="12" borderId="35" xfId="5" applyFont="1" applyFill="1" applyBorder="1" applyAlignment="1" applyProtection="1">
      <alignment horizontal="center" vertical="center" wrapText="1"/>
    </xf>
    <xf numFmtId="0" fontId="46" fillId="12" borderId="35" xfId="5" applyNumberFormat="1" applyFont="1" applyFill="1" applyBorder="1" applyAlignment="1" applyProtection="1">
      <alignment horizontal="center" vertical="center" wrapText="1"/>
    </xf>
    <xf numFmtId="0" fontId="47" fillId="21" borderId="1" xfId="5" applyFont="1" applyFill="1" applyBorder="1" applyAlignment="1" applyProtection="1">
      <alignment vertical="center" wrapText="1"/>
    </xf>
    <xf numFmtId="3" fontId="47" fillId="21" borderId="1" xfId="5" applyNumberFormat="1" applyFont="1" applyFill="1" applyBorder="1" applyAlignment="1" applyProtection="1">
      <alignment vertical="center"/>
    </xf>
    <xf numFmtId="3" fontId="47" fillId="21" borderId="1" xfId="5" applyNumberFormat="1" applyFont="1" applyFill="1" applyBorder="1" applyAlignment="1" applyProtection="1">
      <alignment vertical="center" wrapText="1"/>
    </xf>
    <xf numFmtId="3" fontId="48" fillId="22" borderId="1" xfId="5" applyNumberFormat="1" applyFont="1" applyFill="1" applyBorder="1" applyAlignment="1" applyProtection="1">
      <alignment horizontal="left" vertical="center"/>
    </xf>
    <xf numFmtId="3" fontId="48" fillId="22" borderId="1" xfId="5" applyNumberFormat="1" applyFont="1" applyFill="1" applyBorder="1" applyAlignment="1" applyProtection="1">
      <alignment vertical="center" wrapText="1"/>
    </xf>
    <xf numFmtId="3" fontId="49" fillId="22" borderId="1" xfId="5" applyNumberFormat="1" applyFont="1" applyFill="1" applyBorder="1" applyProtection="1"/>
    <xf numFmtId="3" fontId="48" fillId="22" borderId="1" xfId="5" applyNumberFormat="1" applyFont="1" applyFill="1" applyBorder="1" applyAlignment="1" applyProtection="1">
      <alignment vertical="center"/>
    </xf>
    <xf numFmtId="3" fontId="50" fillId="15" borderId="1" xfId="5" applyNumberFormat="1" applyFont="1" applyFill="1" applyBorder="1" applyAlignment="1" applyProtection="1">
      <alignment horizontal="center" vertical="center"/>
    </xf>
    <xf numFmtId="3" fontId="50" fillId="15" borderId="1" xfId="5" applyNumberFormat="1" applyFont="1" applyFill="1" applyBorder="1" applyAlignment="1" applyProtection="1">
      <alignment vertical="center" wrapText="1"/>
    </xf>
    <xf numFmtId="3" fontId="51" fillId="20" borderId="1" xfId="5" applyNumberFormat="1" applyFont="1" applyFill="1" applyBorder="1" applyProtection="1"/>
    <xf numFmtId="3" fontId="50" fillId="20" borderId="1" xfId="5" applyNumberFormat="1" applyFont="1" applyFill="1" applyBorder="1" applyAlignment="1" applyProtection="1">
      <alignment vertical="center"/>
    </xf>
    <xf numFmtId="0" fontId="49" fillId="2" borderId="1" xfId="5" applyFont="1" applyBorder="1" applyProtection="1"/>
    <xf numFmtId="3" fontId="49" fillId="20" borderId="1" xfId="5" applyNumberFormat="1" applyFont="1" applyFill="1" applyBorder="1" applyProtection="1"/>
    <xf numFmtId="3" fontId="31" fillId="15" borderId="1" xfId="5" applyNumberFormat="1" applyFont="1" applyFill="1" applyBorder="1" applyAlignment="1" applyProtection="1">
      <alignment vertical="center"/>
    </xf>
    <xf numFmtId="0" fontId="48" fillId="2" borderId="1" xfId="5" applyFont="1" applyBorder="1" applyAlignment="1" applyProtection="1">
      <alignment vertical="center"/>
    </xf>
    <xf numFmtId="0" fontId="49" fillId="2" borderId="1" xfId="5" applyNumberFormat="1" applyFont="1" applyFill="1" applyBorder="1" applyAlignment="1" applyProtection="1">
      <alignment vertical="center"/>
    </xf>
    <xf numFmtId="3" fontId="49" fillId="20" borderId="1" xfId="5" applyNumberFormat="1" applyFont="1" applyFill="1" applyBorder="1" applyAlignment="1" applyProtection="1">
      <alignment vertical="center"/>
    </xf>
    <xf numFmtId="0" fontId="48" fillId="2" borderId="1" xfId="5" applyFont="1" applyFill="1" applyBorder="1" applyAlignment="1" applyProtection="1">
      <alignment vertical="center"/>
    </xf>
    <xf numFmtId="0" fontId="50" fillId="2" borderId="1" xfId="5" applyFont="1" applyFill="1" applyBorder="1" applyAlignment="1" applyProtection="1">
      <alignment horizontal="center" vertical="center"/>
    </xf>
    <xf numFmtId="0" fontId="51" fillId="2" borderId="1" xfId="5" applyNumberFormat="1" applyFont="1" applyFill="1" applyBorder="1" applyAlignment="1" applyProtection="1">
      <alignment vertical="center"/>
    </xf>
    <xf numFmtId="3" fontId="51" fillId="20" borderId="1" xfId="5" applyNumberFormat="1" applyFont="1" applyFill="1" applyBorder="1" applyAlignment="1" applyProtection="1">
      <alignment vertical="center"/>
    </xf>
    <xf numFmtId="0" fontId="48" fillId="2" borderId="1" xfId="43" applyFont="1" applyFill="1" applyBorder="1" applyAlignment="1" applyProtection="1">
      <alignment horizontal="left" vertical="center" wrapText="1"/>
    </xf>
    <xf numFmtId="0" fontId="48" fillId="2" borderId="1" xfId="5" applyFont="1" applyFill="1" applyBorder="1" applyAlignment="1" applyProtection="1">
      <alignment horizontal="right" vertical="center"/>
    </xf>
    <xf numFmtId="0" fontId="50" fillId="2" borderId="1" xfId="5" applyNumberFormat="1" applyFont="1" applyFill="1" applyBorder="1" applyAlignment="1" applyProtection="1">
      <alignment vertical="center"/>
    </xf>
    <xf numFmtId="0" fontId="48" fillId="2" borderId="1" xfId="5" applyNumberFormat="1" applyFont="1" applyFill="1" applyBorder="1" applyAlignment="1" applyProtection="1">
      <alignment vertical="center"/>
    </xf>
    <xf numFmtId="0" fontId="48" fillId="22" borderId="1" xfId="5" applyFont="1" applyFill="1" applyBorder="1" applyAlignment="1" applyProtection="1">
      <alignment horizontal="left" vertical="center"/>
    </xf>
    <xf numFmtId="0" fontId="49" fillId="22" borderId="1" xfId="5" applyFont="1" applyFill="1" applyBorder="1" applyAlignment="1" applyProtection="1">
      <alignment vertical="center"/>
    </xf>
    <xf numFmtId="3" fontId="49" fillId="22" borderId="1" xfId="5" applyNumberFormat="1" applyFont="1" applyFill="1" applyBorder="1" applyAlignment="1" applyProtection="1">
      <alignment vertical="center"/>
    </xf>
    <xf numFmtId="0" fontId="49" fillId="2" borderId="1" xfId="5" applyFont="1" applyBorder="1" applyAlignment="1" applyProtection="1">
      <alignment horizontal="right"/>
    </xf>
    <xf numFmtId="1" fontId="42" fillId="12" borderId="48" xfId="5" applyNumberFormat="1" applyFont="1" applyFill="1" applyBorder="1" applyAlignment="1" applyProtection="1">
      <alignment horizontal="center" vertical="center" wrapText="1"/>
    </xf>
    <xf numFmtId="3" fontId="48" fillId="23" borderId="1" xfId="5" applyNumberFormat="1" applyFont="1" applyFill="1" applyBorder="1" applyAlignment="1" applyProtection="1">
      <alignment vertical="center"/>
    </xf>
    <xf numFmtId="3" fontId="50" fillId="24" borderId="1" xfId="5" applyNumberFormat="1" applyFont="1" applyFill="1" applyBorder="1" applyAlignment="1" applyProtection="1">
      <alignment vertical="center"/>
    </xf>
    <xf numFmtId="1" fontId="42" fillId="12" borderId="51" xfId="5" applyNumberFormat="1" applyFont="1" applyFill="1" applyBorder="1" applyAlignment="1" applyProtection="1">
      <alignment horizontal="left" vertical="center" wrapText="1"/>
    </xf>
    <xf numFmtId="49" fontId="44" fillId="2" borderId="28" xfId="5" applyNumberFormat="1" applyFont="1" applyFill="1" applyBorder="1" applyAlignment="1" applyProtection="1">
      <alignment horizontal="left"/>
    </xf>
    <xf numFmtId="49" fontId="41" fillId="20" borderId="28" xfId="5" applyNumberFormat="1" applyFont="1" applyFill="1" applyBorder="1" applyAlignment="1" applyProtection="1">
      <alignment horizontal="left"/>
    </xf>
    <xf numFmtId="3" fontId="41" fillId="20" borderId="29" xfId="5" applyNumberFormat="1" applyFont="1" applyFill="1" applyBorder="1" applyAlignment="1" applyProtection="1">
      <alignment vertical="center"/>
    </xf>
    <xf numFmtId="49" fontId="44" fillId="2" borderId="53" xfId="5" applyNumberFormat="1" applyFont="1" applyFill="1" applyBorder="1" applyAlignment="1" applyProtection="1">
      <alignment horizontal="left"/>
    </xf>
    <xf numFmtId="3" fontId="44" fillId="20" borderId="54" xfId="5" applyNumberFormat="1" applyFont="1" applyFill="1" applyBorder="1" applyAlignment="1" applyProtection="1">
      <alignment vertical="center"/>
    </xf>
    <xf numFmtId="49" fontId="44" fillId="2" borderId="16" xfId="5" applyNumberFormat="1" applyFont="1" applyFill="1" applyBorder="1" applyAlignment="1" applyProtection="1">
      <alignment horizontal="left"/>
    </xf>
    <xf numFmtId="49" fontId="22" fillId="2" borderId="28" xfId="5" applyNumberFormat="1" applyFont="1" applyFill="1" applyBorder="1" applyAlignment="1" applyProtection="1">
      <alignment horizontal="left"/>
    </xf>
    <xf numFmtId="49" fontId="45" fillId="20" borderId="28" xfId="5" applyNumberFormat="1" applyFont="1" applyFill="1" applyBorder="1" applyAlignment="1" applyProtection="1">
      <alignment horizontal="left"/>
    </xf>
    <xf numFmtId="3" fontId="45" fillId="20" borderId="29" xfId="5" applyNumberFormat="1" applyFont="1" applyFill="1" applyBorder="1" applyAlignment="1" applyProtection="1">
      <alignment vertical="center"/>
    </xf>
    <xf numFmtId="1" fontId="22" fillId="2" borderId="28" xfId="5" applyNumberFormat="1" applyFont="1" applyBorder="1" applyAlignment="1" applyProtection="1">
      <alignment horizontal="left" vertical="center" wrapText="1"/>
    </xf>
    <xf numFmtId="3" fontId="42" fillId="12" borderId="45" xfId="5" applyNumberFormat="1" applyFont="1" applyFill="1" applyBorder="1" applyAlignment="1" applyProtection="1">
      <alignment vertical="center"/>
    </xf>
    <xf numFmtId="3" fontId="42" fillId="12" borderId="56" xfId="5" applyNumberFormat="1" applyFont="1" applyFill="1" applyBorder="1" applyAlignment="1" applyProtection="1">
      <alignment vertical="center"/>
    </xf>
    <xf numFmtId="3" fontId="42" fillId="25" borderId="56" xfId="5" applyNumberFormat="1" applyFont="1" applyFill="1" applyBorder="1" applyAlignment="1" applyProtection="1">
      <alignment vertical="center"/>
    </xf>
    <xf numFmtId="3" fontId="42" fillId="25" borderId="57" xfId="5" applyNumberFormat="1" applyFont="1" applyFill="1" applyBorder="1" applyAlignment="1" applyProtection="1">
      <alignment vertical="center"/>
    </xf>
    <xf numFmtId="3" fontId="42" fillId="12" borderId="48" xfId="5" applyNumberFormat="1" applyFont="1" applyFill="1" applyBorder="1" applyAlignment="1" applyProtection="1">
      <alignment horizontal="right"/>
    </xf>
    <xf numFmtId="49" fontId="41" fillId="20" borderId="7" xfId="5" applyNumberFormat="1" applyFont="1" applyFill="1" applyBorder="1" applyAlignment="1" applyProtection="1">
      <alignment horizontal="left"/>
    </xf>
    <xf numFmtId="0" fontId="21" fillId="20" borderId="9" xfId="38" applyFont="1" applyFill="1" applyBorder="1" applyAlignment="1" applyProtection="1">
      <alignment horizontal="left" vertical="center" wrapText="1"/>
    </xf>
    <xf numFmtId="3" fontId="42" fillId="12" borderId="58" xfId="5" applyNumberFormat="1" applyFont="1" applyFill="1" applyBorder="1" applyAlignment="1" applyProtection="1">
      <alignment horizontal="right"/>
    </xf>
    <xf numFmtId="3" fontId="41" fillId="20" borderId="9" xfId="5" applyNumberFormat="1" applyFont="1" applyFill="1" applyBorder="1" applyAlignment="1" applyProtection="1">
      <alignment vertical="center"/>
    </xf>
    <xf numFmtId="3" fontId="41" fillId="20" borderId="10" xfId="5" applyNumberFormat="1" applyFont="1" applyFill="1" applyBorder="1" applyAlignment="1" applyProtection="1">
      <alignment vertical="center"/>
    </xf>
    <xf numFmtId="3" fontId="41" fillId="20" borderId="59" xfId="5" applyNumberFormat="1" applyFont="1" applyFill="1" applyBorder="1" applyAlignment="1" applyProtection="1">
      <alignment vertical="center"/>
    </xf>
    <xf numFmtId="0" fontId="20" fillId="2" borderId="0" xfId="0" applyFont="1" applyFill="1"/>
    <xf numFmtId="3" fontId="47" fillId="26" borderId="1" xfId="5" applyNumberFormat="1" applyFont="1" applyFill="1" applyBorder="1" applyAlignment="1" applyProtection="1">
      <alignment vertical="center" wrapText="1"/>
    </xf>
    <xf numFmtId="0" fontId="54" fillId="2" borderId="0" xfId="0" applyFont="1" applyFill="1"/>
    <xf numFmtId="4" fontId="54" fillId="2" borderId="0" xfId="0" applyNumberFormat="1" applyFont="1" applyFill="1" applyBorder="1" applyAlignment="1">
      <alignment horizontal="right" vertical="center"/>
    </xf>
    <xf numFmtId="4" fontId="54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29" xfId="0" applyNumberFormat="1" applyFont="1" applyFill="1" applyBorder="1"/>
    <xf numFmtId="3" fontId="7" fillId="2" borderId="17" xfId="0" applyNumberFormat="1" applyFont="1" applyFill="1" applyBorder="1"/>
    <xf numFmtId="3" fontId="42" fillId="12" borderId="48" xfId="5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/>
    <xf numFmtId="3" fontId="7" fillId="2" borderId="14" xfId="0" applyNumberFormat="1" applyFont="1" applyFill="1" applyBorder="1"/>
    <xf numFmtId="3" fontId="29" fillId="2" borderId="0" xfId="0" applyNumberFormat="1" applyFont="1" applyFill="1" applyBorder="1" applyAlignment="1" applyProtection="1"/>
    <xf numFmtId="3" fontId="29" fillId="2" borderId="1" xfId="0" applyNumberFormat="1" applyFont="1" applyFill="1" applyBorder="1" applyAlignment="1" applyProtection="1"/>
    <xf numFmtId="0" fontId="29" fillId="2" borderId="0" xfId="0" applyNumberFormat="1" applyFont="1" applyFill="1" applyBorder="1" applyAlignment="1" applyProtection="1">
      <alignment horizontal="center"/>
    </xf>
    <xf numFmtId="3" fontId="47" fillId="26" borderId="1" xfId="5" applyNumberFormat="1" applyFont="1" applyFill="1" applyBorder="1" applyAlignment="1" applyProtection="1">
      <alignment horizontal="center" vertical="center" wrapText="1"/>
    </xf>
    <xf numFmtId="3" fontId="47" fillId="23" borderId="1" xfId="5" applyNumberFormat="1" applyFont="1" applyFill="1" applyBorder="1" applyAlignment="1" applyProtection="1">
      <alignment horizontal="center" vertical="center" wrapText="1"/>
    </xf>
    <xf numFmtId="3" fontId="47" fillId="24" borderId="1" xfId="5" applyNumberFormat="1" applyFont="1" applyFill="1" applyBorder="1" applyAlignment="1" applyProtection="1">
      <alignment horizontal="center" vertical="center" wrapText="1"/>
    </xf>
    <xf numFmtId="3" fontId="47" fillId="0" borderId="1" xfId="5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0" fillId="24" borderId="1" xfId="0" applyNumberFormat="1" applyFont="1" applyFill="1" applyBorder="1" applyAlignment="1">
      <alignment horizontal="center" vertical="center"/>
    </xf>
    <xf numFmtId="1" fontId="7" fillId="24" borderId="5" xfId="0" applyNumberFormat="1" applyFont="1" applyFill="1" applyBorder="1" applyAlignment="1">
      <alignment horizontal="center" vertical="center"/>
    </xf>
    <xf numFmtId="1" fontId="20" fillId="24" borderId="9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52" fillId="25" borderId="24" xfId="0" applyNumberFormat="1" applyFont="1" applyFill="1" applyBorder="1" applyAlignment="1">
      <alignment horizontal="center" vertical="center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41" fillId="0" borderId="0" xfId="7" applyNumberFormat="1" applyFont="1" applyFill="1" applyAlignment="1">
      <alignment vertical="center"/>
    </xf>
    <xf numFmtId="3" fontId="44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57" fillId="0" borderId="0" xfId="0" applyNumberFormat="1" applyFont="1" applyFill="1" applyBorder="1" applyAlignment="1">
      <alignment horizontal="center" wrapText="1"/>
    </xf>
    <xf numFmtId="3" fontId="41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9" fillId="0" borderId="0" xfId="7" applyNumberFormat="1" applyFont="1" applyFill="1" applyAlignment="1">
      <alignment vertical="center"/>
    </xf>
    <xf numFmtId="2" fontId="58" fillId="0" borderId="16" xfId="0" applyNumberFormat="1" applyFont="1" applyFill="1" applyBorder="1" applyAlignment="1">
      <alignment horizontal="center" vertical="center"/>
    </xf>
    <xf numFmtId="2" fontId="58" fillId="0" borderId="17" xfId="0" applyNumberFormat="1" applyFont="1" applyFill="1" applyBorder="1" applyAlignment="1">
      <alignment horizontal="center" vertical="center"/>
    </xf>
    <xf numFmtId="2" fontId="56" fillId="0" borderId="7" xfId="0" applyNumberFormat="1" applyFont="1" applyFill="1" applyBorder="1" applyAlignment="1">
      <alignment horizontal="center" vertical="center"/>
    </xf>
    <xf numFmtId="2" fontId="56" fillId="0" borderId="59" xfId="0" applyNumberFormat="1" applyFont="1" applyFill="1" applyBorder="1" applyAlignment="1">
      <alignment horizontal="center" vertical="center"/>
    </xf>
    <xf numFmtId="4" fontId="54" fillId="2" borderId="1" xfId="0" applyNumberFormat="1" applyFont="1" applyFill="1" applyBorder="1" applyAlignment="1">
      <alignment horizontal="center" vertical="center"/>
    </xf>
    <xf numFmtId="4" fontId="54" fillId="2" borderId="0" xfId="0" applyNumberFormat="1" applyFont="1" applyFill="1" applyAlignment="1">
      <alignment horizontal="center" vertical="center"/>
    </xf>
    <xf numFmtId="1" fontId="54" fillId="2" borderId="1" xfId="0" applyNumberFormat="1" applyFont="1" applyFill="1" applyBorder="1" applyAlignment="1">
      <alignment horizontal="left" vertical="center" wrapText="1"/>
    </xf>
    <xf numFmtId="1" fontId="54" fillId="2" borderId="0" xfId="0" applyNumberFormat="1" applyFont="1" applyFill="1" applyAlignment="1">
      <alignment horizontal="left" vertical="center" wrapText="1"/>
    </xf>
    <xf numFmtId="1" fontId="55" fillId="27" borderId="1" xfId="0" applyNumberFormat="1" applyFont="1" applyFill="1" applyBorder="1" applyAlignment="1">
      <alignment horizontal="left" vertical="center" wrapText="1"/>
    </xf>
    <xf numFmtId="4" fontId="55" fillId="27" borderId="1" xfId="0" applyNumberFormat="1" applyFont="1" applyFill="1" applyBorder="1" applyAlignment="1">
      <alignment horizontal="center" vertical="center"/>
    </xf>
    <xf numFmtId="1" fontId="55" fillId="28" borderId="1" xfId="0" applyNumberFormat="1" applyFont="1" applyFill="1" applyBorder="1" applyAlignment="1">
      <alignment horizontal="left" vertical="center" wrapText="1"/>
    </xf>
    <xf numFmtId="4" fontId="55" fillId="28" borderId="1" xfId="0" applyNumberFormat="1" applyFont="1" applyFill="1" applyBorder="1" applyAlignment="1">
      <alignment horizontal="center" vertical="center"/>
    </xf>
    <xf numFmtId="1" fontId="40" fillId="27" borderId="1" xfId="0" applyNumberFormat="1" applyFont="1" applyFill="1" applyBorder="1" applyAlignment="1">
      <alignment horizontal="left" vertical="center" wrapText="1"/>
    </xf>
    <xf numFmtId="4" fontId="40" fillId="27" borderId="1" xfId="0" applyNumberFormat="1" applyFont="1" applyFill="1" applyBorder="1" applyAlignment="1">
      <alignment horizontal="center" vertical="center"/>
    </xf>
    <xf numFmtId="1" fontId="40" fillId="28" borderId="1" xfId="0" applyNumberFormat="1" applyFont="1" applyFill="1" applyBorder="1" applyAlignment="1">
      <alignment horizontal="left" vertical="center" wrapText="1"/>
    </xf>
    <xf numFmtId="4" fontId="40" fillId="28" borderId="1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wrapText="1"/>
    </xf>
    <xf numFmtId="0" fontId="55" fillId="27" borderId="1" xfId="0" applyFont="1" applyFill="1" applyBorder="1" applyAlignment="1">
      <alignment horizontal="center" wrapText="1"/>
    </xf>
    <xf numFmtId="0" fontId="40" fillId="27" borderId="1" xfId="0" applyFont="1" applyFill="1" applyBorder="1" applyAlignment="1">
      <alignment horizontal="center" wrapText="1"/>
    </xf>
    <xf numFmtId="0" fontId="55" fillId="28" borderId="1" xfId="0" applyFont="1" applyFill="1" applyBorder="1" applyAlignment="1">
      <alignment horizontal="center" wrapText="1"/>
    </xf>
    <xf numFmtId="0" fontId="54" fillId="2" borderId="0" xfId="0" applyFont="1" applyFill="1" applyAlignment="1">
      <alignment horizontal="center" wrapText="1"/>
    </xf>
    <xf numFmtId="1" fontId="54" fillId="2" borderId="0" xfId="0" applyNumberFormat="1" applyFont="1" applyFill="1" applyAlignment="1">
      <alignment horizontal="center"/>
    </xf>
    <xf numFmtId="0" fontId="54" fillId="2" borderId="1" xfId="0" applyFont="1" applyFill="1" applyBorder="1" applyAlignment="1">
      <alignment horizontal="left" wrapText="1"/>
    </xf>
    <xf numFmtId="0" fontId="55" fillId="27" borderId="1" xfId="0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40" fillId="27" borderId="1" xfId="0" applyFont="1" applyFill="1" applyBorder="1" applyAlignment="1">
      <alignment horizontal="left" wrapText="1"/>
    </xf>
    <xf numFmtId="0" fontId="55" fillId="28" borderId="1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0" fontId="54" fillId="2" borderId="1" xfId="0" applyFont="1" applyFill="1" applyBorder="1" applyAlignment="1">
      <alignment horizontal="left" vertical="center" wrapText="1"/>
    </xf>
    <xf numFmtId="0" fontId="55" fillId="27" borderId="1" xfId="0" applyFont="1" applyFill="1" applyBorder="1" applyAlignment="1">
      <alignment horizontal="left" vertical="center" wrapText="1"/>
    </xf>
    <xf numFmtId="0" fontId="40" fillId="27" borderId="1" xfId="0" applyFont="1" applyFill="1" applyBorder="1" applyAlignment="1">
      <alignment horizontal="left" vertical="center" wrapText="1"/>
    </xf>
    <xf numFmtId="0" fontId="55" fillId="28" borderId="1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4" fontId="54" fillId="2" borderId="14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wrapText="1"/>
    </xf>
    <xf numFmtId="1" fontId="54" fillId="2" borderId="0" xfId="0" applyNumberFormat="1" applyFont="1" applyFill="1" applyBorder="1" applyAlignment="1">
      <alignment horizontal="left" vertical="center" wrapText="1"/>
    </xf>
    <xf numFmtId="0" fontId="54" fillId="2" borderId="0" xfId="0" applyFont="1" applyFill="1" applyBorder="1" applyAlignment="1">
      <alignment horizontal="left" wrapText="1"/>
    </xf>
    <xf numFmtId="0" fontId="54" fillId="2" borderId="0" xfId="0" applyFont="1" applyFill="1" applyBorder="1" applyAlignment="1">
      <alignment horizontal="left" vertical="center" wrapText="1"/>
    </xf>
    <xf numFmtId="4" fontId="54" fillId="2" borderId="0" xfId="0" applyNumberFormat="1" applyFont="1" applyFill="1" applyBorder="1" applyAlignment="1">
      <alignment horizontal="center" vertical="center"/>
    </xf>
    <xf numFmtId="0" fontId="54" fillId="2" borderId="14" xfId="0" applyFont="1" applyFill="1" applyBorder="1" applyAlignment="1">
      <alignment horizontal="center" wrapText="1"/>
    </xf>
    <xf numFmtId="1" fontId="54" fillId="2" borderId="14" xfId="0" applyNumberFormat="1" applyFont="1" applyFill="1" applyBorder="1" applyAlignment="1">
      <alignment horizontal="left" vertical="center" wrapText="1"/>
    </xf>
    <xf numFmtId="0" fontId="54" fillId="2" borderId="14" xfId="0" applyFont="1" applyFill="1" applyBorder="1" applyAlignment="1">
      <alignment horizontal="left" wrapText="1"/>
    </xf>
    <xf numFmtId="0" fontId="54" fillId="2" borderId="14" xfId="0" applyFont="1" applyFill="1" applyBorder="1" applyAlignment="1">
      <alignment horizontal="left" vertical="center" wrapText="1"/>
    </xf>
    <xf numFmtId="1" fontId="54" fillId="2" borderId="7" xfId="0" applyNumberFormat="1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1" fontId="54" fillId="2" borderId="9" xfId="0" applyNumberFormat="1" applyFont="1" applyFill="1" applyBorder="1" applyAlignment="1">
      <alignment horizontal="center" vertical="center" wrapText="1"/>
    </xf>
    <xf numFmtId="4" fontId="54" fillId="2" borderId="9" xfId="0" applyNumberFormat="1" applyFont="1" applyFill="1" applyBorder="1" applyAlignment="1">
      <alignment horizontal="center" vertical="center" wrapText="1"/>
    </xf>
    <xf numFmtId="4" fontId="54" fillId="2" borderId="10" xfId="0" applyNumberFormat="1" applyFont="1" applyFill="1" applyBorder="1" applyAlignment="1">
      <alignment horizontal="center" vertical="center"/>
    </xf>
    <xf numFmtId="4" fontId="54" fillId="2" borderId="15" xfId="0" applyNumberFormat="1" applyFont="1" applyFill="1" applyBorder="1" applyAlignment="1">
      <alignment horizontal="right" vertical="center"/>
    </xf>
    <xf numFmtId="4" fontId="54" fillId="2" borderId="2" xfId="0" applyNumberFormat="1" applyFont="1" applyFill="1" applyBorder="1" applyAlignment="1">
      <alignment horizontal="right" vertical="center"/>
    </xf>
    <xf numFmtId="4" fontId="55" fillId="27" borderId="2" xfId="0" applyNumberFormat="1" applyFont="1" applyFill="1" applyBorder="1" applyAlignment="1">
      <alignment horizontal="right" vertical="center"/>
    </xf>
    <xf numFmtId="4" fontId="40" fillId="27" borderId="2" xfId="0" applyNumberFormat="1" applyFont="1" applyFill="1" applyBorder="1" applyAlignment="1">
      <alignment horizontal="right" vertical="center"/>
    </xf>
    <xf numFmtId="4" fontId="55" fillId="28" borderId="2" xfId="0" applyNumberFormat="1" applyFont="1" applyFill="1" applyBorder="1" applyAlignment="1">
      <alignment horizontal="right" vertical="center"/>
    </xf>
    <xf numFmtId="0" fontId="54" fillId="2" borderId="59" xfId="0" applyFont="1" applyFill="1" applyBorder="1" applyAlignment="1">
      <alignment wrapText="1"/>
    </xf>
    <xf numFmtId="1" fontId="54" fillId="2" borderId="0" xfId="0" applyNumberFormat="1" applyFont="1" applyFill="1" applyBorder="1" applyAlignment="1">
      <alignment horizontal="center"/>
    </xf>
    <xf numFmtId="0" fontId="40" fillId="28" borderId="1" xfId="0" applyFont="1" applyFill="1" applyBorder="1" applyAlignment="1">
      <alignment horizontal="center" wrapText="1"/>
    </xf>
    <xf numFmtId="0" fontId="40" fillId="28" borderId="1" xfId="0" applyFont="1" applyFill="1" applyBorder="1" applyAlignment="1">
      <alignment horizontal="left" wrapText="1"/>
    </xf>
    <xf numFmtId="0" fontId="40" fillId="28" borderId="1" xfId="0" applyFont="1" applyFill="1" applyBorder="1" applyAlignment="1">
      <alignment horizontal="left" vertical="center" wrapText="1"/>
    </xf>
    <xf numFmtId="4" fontId="40" fillId="28" borderId="2" xfId="0" applyNumberFormat="1" applyFont="1" applyFill="1" applyBorder="1" applyAlignment="1">
      <alignment horizontal="right" vertical="center"/>
    </xf>
    <xf numFmtId="1" fontId="60" fillId="2" borderId="0" xfId="0" applyNumberFormat="1" applyFont="1" applyFill="1" applyBorder="1" applyAlignment="1">
      <alignment horizontal="center"/>
    </xf>
    <xf numFmtId="1" fontId="54" fillId="2" borderId="16" xfId="0" applyNumberFormat="1" applyFont="1" applyFill="1" applyBorder="1" applyAlignment="1">
      <alignment horizontal="center"/>
    </xf>
    <xf numFmtId="1" fontId="54" fillId="2" borderId="28" xfId="0" applyNumberFormat="1" applyFont="1" applyFill="1" applyBorder="1" applyAlignment="1">
      <alignment horizontal="center"/>
    </xf>
    <xf numFmtId="1" fontId="55" fillId="27" borderId="28" xfId="0" applyNumberFormat="1" applyFont="1" applyFill="1" applyBorder="1" applyAlignment="1">
      <alignment horizontal="center"/>
    </xf>
    <xf numFmtId="4" fontId="55" fillId="27" borderId="29" xfId="0" applyNumberFormat="1" applyFont="1" applyFill="1" applyBorder="1" applyAlignment="1">
      <alignment horizontal="right" vertical="center"/>
    </xf>
    <xf numFmtId="1" fontId="55" fillId="28" borderId="28" xfId="0" applyNumberFormat="1" applyFont="1" applyFill="1" applyBorder="1" applyAlignment="1">
      <alignment horizontal="center"/>
    </xf>
    <xf numFmtId="4" fontId="55" fillId="28" borderId="29" xfId="0" applyNumberFormat="1" applyFont="1" applyFill="1" applyBorder="1" applyAlignment="1">
      <alignment horizontal="right" vertical="center"/>
    </xf>
    <xf numFmtId="1" fontId="40" fillId="27" borderId="28" xfId="0" applyNumberFormat="1" applyFont="1" applyFill="1" applyBorder="1" applyAlignment="1">
      <alignment horizontal="center"/>
    </xf>
    <xf numFmtId="1" fontId="40" fillId="28" borderId="28" xfId="0" applyNumberFormat="1" applyFont="1" applyFill="1" applyBorder="1" applyAlignment="1">
      <alignment horizontal="center"/>
    </xf>
    <xf numFmtId="0" fontId="54" fillId="2" borderId="28" xfId="0" applyFont="1" applyFill="1" applyBorder="1" applyAlignment="1">
      <alignment horizontal="center"/>
    </xf>
    <xf numFmtId="0" fontId="54" fillId="2" borderId="23" xfId="0" applyFont="1" applyFill="1" applyBorder="1" applyAlignment="1">
      <alignment horizontal="center"/>
    </xf>
    <xf numFmtId="0" fontId="54" fillId="2" borderId="24" xfId="0" applyFont="1" applyFill="1" applyBorder="1" applyAlignment="1">
      <alignment horizontal="center" wrapText="1"/>
    </xf>
    <xf numFmtId="1" fontId="54" fillId="2" borderId="24" xfId="0" applyNumberFormat="1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wrapText="1"/>
    </xf>
    <xf numFmtId="0" fontId="54" fillId="2" borderId="24" xfId="0" applyFont="1" applyFill="1" applyBorder="1" applyAlignment="1">
      <alignment horizontal="left" vertical="center" wrapText="1"/>
    </xf>
    <xf numFmtId="4" fontId="54" fillId="2" borderId="24" xfId="0" applyNumberFormat="1" applyFont="1" applyFill="1" applyBorder="1" applyAlignment="1">
      <alignment horizontal="center" vertical="center"/>
    </xf>
    <xf numFmtId="4" fontId="54" fillId="2" borderId="68" xfId="0" applyNumberFormat="1" applyFont="1" applyFill="1" applyBorder="1" applyAlignment="1">
      <alignment horizontal="right" vertical="center"/>
    </xf>
    <xf numFmtId="1" fontId="55" fillId="28" borderId="21" xfId="0" applyNumberFormat="1" applyFont="1" applyFill="1" applyBorder="1" applyAlignment="1">
      <alignment horizontal="center"/>
    </xf>
    <xf numFmtId="0" fontId="55" fillId="28" borderId="71" xfId="0" applyFont="1" applyFill="1" applyBorder="1" applyAlignment="1">
      <alignment horizontal="center" wrapText="1"/>
    </xf>
    <xf numFmtId="1" fontId="55" fillId="28" borderId="71" xfId="0" applyNumberFormat="1" applyFont="1" applyFill="1" applyBorder="1" applyAlignment="1">
      <alignment horizontal="left" vertical="center" wrapText="1"/>
    </xf>
    <xf numFmtId="0" fontId="55" fillId="28" borderId="71" xfId="0" applyFont="1" applyFill="1" applyBorder="1" applyAlignment="1">
      <alignment horizontal="left" wrapText="1"/>
    </xf>
    <xf numFmtId="0" fontId="55" fillId="28" borderId="71" xfId="0" applyFont="1" applyFill="1" applyBorder="1" applyAlignment="1">
      <alignment horizontal="left" vertical="center" wrapText="1"/>
    </xf>
    <xf numFmtId="4" fontId="55" fillId="28" borderId="71" xfId="0" applyNumberFormat="1" applyFont="1" applyFill="1" applyBorder="1" applyAlignment="1">
      <alignment horizontal="center" vertical="center"/>
    </xf>
    <xf numFmtId="4" fontId="55" fillId="28" borderId="65" xfId="0" applyNumberFormat="1" applyFont="1" applyFill="1" applyBorder="1" applyAlignment="1">
      <alignment horizontal="right" vertical="center"/>
    </xf>
    <xf numFmtId="4" fontId="55" fillId="28" borderId="22" xfId="0" applyNumberFormat="1" applyFont="1" applyFill="1" applyBorder="1" applyAlignment="1">
      <alignment horizontal="right" vertical="center"/>
    </xf>
    <xf numFmtId="0" fontId="55" fillId="19" borderId="24" xfId="0" applyFont="1" applyFill="1" applyBorder="1" applyAlignment="1">
      <alignment horizontal="center" wrapText="1"/>
    </xf>
    <xf numFmtId="1" fontId="55" fillId="28" borderId="33" xfId="0" applyNumberFormat="1" applyFont="1" applyFill="1" applyBorder="1" applyAlignment="1">
      <alignment horizontal="center"/>
    </xf>
    <xf numFmtId="0" fontId="55" fillId="28" borderId="5" xfId="0" applyFont="1" applyFill="1" applyBorder="1" applyAlignment="1">
      <alignment horizontal="center" wrapText="1"/>
    </xf>
    <xf numFmtId="1" fontId="55" fillId="28" borderId="5" xfId="0" applyNumberFormat="1" applyFont="1" applyFill="1" applyBorder="1" applyAlignment="1">
      <alignment horizontal="left" vertical="center" wrapText="1"/>
    </xf>
    <xf numFmtId="0" fontId="55" fillId="28" borderId="5" xfId="0" applyFont="1" applyFill="1" applyBorder="1" applyAlignment="1">
      <alignment horizontal="left" wrapText="1"/>
    </xf>
    <xf numFmtId="0" fontId="55" fillId="28" borderId="5" xfId="0" applyFont="1" applyFill="1" applyBorder="1" applyAlignment="1">
      <alignment horizontal="left" vertical="center" wrapText="1"/>
    </xf>
    <xf numFmtId="4" fontId="55" fillId="28" borderId="5" xfId="0" applyNumberFormat="1" applyFont="1" applyFill="1" applyBorder="1" applyAlignment="1">
      <alignment horizontal="center" vertical="center"/>
    </xf>
    <xf numFmtId="4" fontId="55" fillId="28" borderId="6" xfId="0" applyNumberFormat="1" applyFont="1" applyFill="1" applyBorder="1" applyAlignment="1">
      <alignment horizontal="right" vertical="center"/>
    </xf>
    <xf numFmtId="4" fontId="55" fillId="28" borderId="70" xfId="0" applyNumberFormat="1" applyFont="1" applyFill="1" applyBorder="1" applyAlignment="1">
      <alignment horizontal="right" vertical="center"/>
    </xf>
    <xf numFmtId="1" fontId="54" fillId="2" borderId="53" xfId="0" applyNumberFormat="1" applyFont="1" applyFill="1" applyBorder="1" applyAlignment="1">
      <alignment horizontal="center"/>
    </xf>
    <xf numFmtId="0" fontId="54" fillId="2" borderId="34" xfId="0" applyFont="1" applyFill="1" applyBorder="1" applyAlignment="1">
      <alignment horizontal="center" wrapText="1"/>
    </xf>
    <xf numFmtId="1" fontId="54" fillId="2" borderId="34" xfId="0" applyNumberFormat="1" applyFont="1" applyFill="1" applyBorder="1" applyAlignment="1">
      <alignment horizontal="left" vertical="center" wrapText="1"/>
    </xf>
    <xf numFmtId="0" fontId="54" fillId="2" borderId="34" xfId="0" applyFont="1" applyFill="1" applyBorder="1" applyAlignment="1">
      <alignment horizontal="left" wrapText="1"/>
    </xf>
    <xf numFmtId="0" fontId="54" fillId="2" borderId="34" xfId="0" applyFont="1" applyFill="1" applyBorder="1" applyAlignment="1">
      <alignment horizontal="left" vertical="center" wrapText="1"/>
    </xf>
    <xf numFmtId="4" fontId="54" fillId="2" borderId="34" xfId="0" applyNumberFormat="1" applyFont="1" applyFill="1" applyBorder="1" applyAlignment="1">
      <alignment horizontal="center" vertical="center"/>
    </xf>
    <xf numFmtId="4" fontId="54" fillId="2" borderId="47" xfId="0" applyNumberFormat="1" applyFont="1" applyFill="1" applyBorder="1" applyAlignment="1">
      <alignment horizontal="right" vertical="center"/>
    </xf>
    <xf numFmtId="1" fontId="59" fillId="19" borderId="23" xfId="0" applyNumberFormat="1" applyFont="1" applyFill="1" applyBorder="1" applyAlignment="1">
      <alignment horizontal="center" vertical="center"/>
    </xf>
    <xf numFmtId="1" fontId="59" fillId="19" borderId="24" xfId="0" applyNumberFormat="1" applyFont="1" applyFill="1" applyBorder="1" applyAlignment="1">
      <alignment horizontal="center" vertical="center" wrapText="1"/>
    </xf>
    <xf numFmtId="0" fontId="59" fillId="19" borderId="24" xfId="0" applyFont="1" applyFill="1" applyBorder="1" applyAlignment="1">
      <alignment horizontal="left" wrapText="1"/>
    </xf>
    <xf numFmtId="0" fontId="59" fillId="19" borderId="24" xfId="0" applyFont="1" applyFill="1" applyBorder="1" applyAlignment="1">
      <alignment horizontal="left" vertical="center" wrapText="1"/>
    </xf>
    <xf numFmtId="4" fontId="59" fillId="19" borderId="24" xfId="0" applyNumberFormat="1" applyFont="1" applyFill="1" applyBorder="1" applyAlignment="1">
      <alignment horizontal="center" vertical="center"/>
    </xf>
    <xf numFmtId="4" fontId="59" fillId="19" borderId="68" xfId="0" applyNumberFormat="1" applyFont="1" applyFill="1" applyBorder="1" applyAlignment="1">
      <alignment horizontal="right" vertical="center"/>
    </xf>
    <xf numFmtId="0" fontId="18" fillId="0" borderId="43" xfId="0" applyNumberFormat="1" applyFont="1" applyFill="1" applyBorder="1" applyAlignment="1" applyProtection="1">
      <alignment horizontal="right" vertical="center" wrapText="1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70" xfId="7" applyNumberFormat="1" applyFont="1" applyFill="1" applyBorder="1" applyAlignment="1">
      <alignment vertical="center"/>
    </xf>
    <xf numFmtId="3" fontId="17" fillId="0" borderId="75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58" fillId="0" borderId="21" xfId="0" applyNumberFormat="1" applyFont="1" applyFill="1" applyBorder="1" applyAlignment="1">
      <alignment horizontal="center" vertical="center"/>
    </xf>
    <xf numFmtId="2" fontId="58" fillId="0" borderId="22" xfId="0" applyNumberFormat="1" applyFont="1" applyFill="1" applyBorder="1" applyAlignment="1">
      <alignment horizontal="center" vertical="center"/>
    </xf>
    <xf numFmtId="2" fontId="58" fillId="0" borderId="28" xfId="0" applyNumberFormat="1" applyFont="1" applyFill="1" applyBorder="1" applyAlignment="1">
      <alignment horizontal="center" vertical="center"/>
    </xf>
    <xf numFmtId="2" fontId="58" fillId="0" borderId="29" xfId="0" applyNumberFormat="1" applyFont="1" applyFill="1" applyBorder="1" applyAlignment="1">
      <alignment horizontal="center" vertical="center"/>
    </xf>
    <xf numFmtId="0" fontId="18" fillId="2" borderId="75" xfId="6" applyNumberFormat="1" applyFont="1" applyFill="1" applyBorder="1" applyAlignment="1" applyProtection="1">
      <alignment wrapText="1"/>
    </xf>
    <xf numFmtId="3" fontId="15" fillId="2" borderId="70" xfId="20" applyNumberFormat="1" applyFont="1" applyFill="1" applyBorder="1" applyAlignment="1">
      <alignment vertical="center"/>
    </xf>
    <xf numFmtId="0" fontId="39" fillId="2" borderId="75" xfId="6" applyNumberFormat="1" applyFont="1" applyFill="1" applyBorder="1" applyAlignment="1" applyProtection="1">
      <alignment horizontal="left" vertical="center" wrapText="1"/>
    </xf>
    <xf numFmtId="3" fontId="15" fillId="0" borderId="67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5" fillId="2" borderId="73" xfId="20" applyNumberFormat="1" applyFont="1" applyFill="1" applyBorder="1" applyAlignment="1">
      <alignment vertical="center"/>
    </xf>
    <xf numFmtId="3" fontId="15" fillId="2" borderId="33" xfId="20" applyNumberFormat="1" applyFont="1" applyFill="1" applyBorder="1" applyAlignment="1">
      <alignment vertical="center"/>
    </xf>
    <xf numFmtId="3" fontId="15" fillId="2" borderId="82" xfId="20" applyNumberFormat="1" applyFont="1" applyFill="1" applyBorder="1" applyAlignment="1">
      <alignment vertical="center"/>
    </xf>
    <xf numFmtId="3" fontId="17" fillId="0" borderId="78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72" xfId="20" applyNumberFormat="1" applyFont="1" applyFill="1" applyBorder="1" applyAlignment="1">
      <alignment vertical="center"/>
    </xf>
    <xf numFmtId="0" fontId="39" fillId="2" borderId="74" xfId="6" quotePrefix="1" applyFont="1" applyFill="1" applyBorder="1" applyAlignment="1">
      <alignment horizontal="left" vertical="center" wrapText="1"/>
    </xf>
    <xf numFmtId="0" fontId="39" fillId="2" borderId="75" xfId="6" applyFont="1" applyFill="1" applyBorder="1" applyAlignment="1">
      <alignment horizontal="left" vertical="center" wrapText="1"/>
    </xf>
    <xf numFmtId="0" fontId="39" fillId="2" borderId="75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horizontal="right" vertical="center" wrapText="1"/>
    </xf>
    <xf numFmtId="3" fontId="15" fillId="2" borderId="28" xfId="20" applyNumberFormat="1" applyFont="1" applyFill="1" applyBorder="1" applyAlignment="1">
      <alignment vertical="center"/>
    </xf>
    <xf numFmtId="0" fontId="39" fillId="2" borderId="75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81" xfId="7" applyNumberFormat="1" applyFont="1" applyFill="1" applyBorder="1" applyAlignment="1">
      <alignment vertical="center"/>
    </xf>
    <xf numFmtId="3" fontId="17" fillId="0" borderId="68" xfId="7" applyNumberFormat="1" applyFont="1" applyFill="1" applyBorder="1" applyAlignment="1">
      <alignment vertical="center"/>
    </xf>
    <xf numFmtId="3" fontId="15" fillId="0" borderId="68" xfId="7" applyNumberFormat="1" applyFont="1" applyFill="1" applyBorder="1" applyAlignment="1">
      <alignment vertical="center"/>
    </xf>
    <xf numFmtId="3" fontId="15" fillId="2" borderId="6" xfId="20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39" fillId="2" borderId="26" xfId="6" quotePrefix="1" applyFont="1" applyFill="1" applyBorder="1" applyAlignment="1">
      <alignment horizontal="left" vertical="center" wrapText="1"/>
    </xf>
    <xf numFmtId="0" fontId="39" fillId="2" borderId="18" xfId="6" applyNumberFormat="1" applyFont="1" applyFill="1" applyBorder="1" applyAlignment="1" applyProtection="1">
      <alignment horizontal="left" vertical="center" wrapText="1"/>
    </xf>
    <xf numFmtId="0" fontId="39" fillId="2" borderId="18" xfId="6" quotePrefix="1" applyFont="1" applyFill="1" applyBorder="1" applyAlignment="1">
      <alignment horizontal="left" vertical="center" wrapText="1"/>
    </xf>
    <xf numFmtId="0" fontId="39" fillId="2" borderId="18" xfId="6" applyFont="1" applyFill="1" applyBorder="1" applyAlignment="1">
      <alignment horizontal="left" vertical="center" wrapText="1"/>
    </xf>
    <xf numFmtId="0" fontId="39" fillId="2" borderId="18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wrapText="1"/>
    </xf>
    <xf numFmtId="0" fontId="18" fillId="0" borderId="43" xfId="0" applyNumberFormat="1" applyFont="1" applyFill="1" applyBorder="1" applyAlignment="1" applyProtection="1">
      <alignment wrapText="1"/>
    </xf>
    <xf numFmtId="4" fontId="39" fillId="2" borderId="1" xfId="6" quotePrefix="1" applyNumberFormat="1" applyFont="1" applyFill="1" applyBorder="1" applyAlignment="1">
      <alignment horizontal="right" vertical="center" wrapText="1"/>
    </xf>
    <xf numFmtId="4" fontId="39" fillId="2" borderId="1" xfId="6" applyNumberFormat="1" applyFont="1" applyFill="1" applyBorder="1" applyAlignment="1" applyProtection="1">
      <alignment horizontal="right" vertical="center" wrapText="1"/>
    </xf>
    <xf numFmtId="4" fontId="39" fillId="2" borderId="1" xfId="6" applyNumberFormat="1" applyFont="1" applyFill="1" applyBorder="1" applyAlignment="1">
      <alignment horizontal="right" vertical="center" wrapText="1"/>
    </xf>
    <xf numFmtId="4" fontId="39" fillId="2" borderId="1" xfId="6" quotePrefix="1" applyNumberFormat="1" applyFont="1" applyFill="1" applyBorder="1" applyAlignment="1" applyProtection="1">
      <alignment horizontal="right" vertical="center" wrapText="1"/>
    </xf>
    <xf numFmtId="4" fontId="18" fillId="2" borderId="1" xfId="6" applyNumberFormat="1" applyFont="1" applyFill="1" applyBorder="1" applyAlignment="1" applyProtection="1">
      <alignment horizontal="right" wrapText="1"/>
    </xf>
    <xf numFmtId="4" fontId="39" fillId="2" borderId="71" xfId="6" quotePrefix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3" fontId="17" fillId="60" borderId="7" xfId="7" applyNumberFormat="1" applyFont="1" applyFill="1" applyBorder="1" applyAlignment="1">
      <alignment horizontal="center" vertical="center" wrapText="1"/>
    </xf>
    <xf numFmtId="3" fontId="17" fillId="60" borderId="9" xfId="7" applyNumberFormat="1" applyFont="1" applyFill="1" applyBorder="1" applyAlignment="1">
      <alignment horizontal="center" vertical="center" wrapText="1"/>
    </xf>
    <xf numFmtId="3" fontId="17" fillId="60" borderId="59" xfId="7" applyNumberFormat="1" applyFont="1" applyFill="1" applyBorder="1" applyAlignment="1">
      <alignment horizontal="center" vertical="center" wrapText="1"/>
    </xf>
    <xf numFmtId="3" fontId="17" fillId="60" borderId="10" xfId="7" applyNumberFormat="1" applyFont="1" applyFill="1" applyBorder="1" applyAlignment="1">
      <alignment horizontal="center" vertical="center" wrapText="1"/>
    </xf>
    <xf numFmtId="0" fontId="21" fillId="60" borderId="84" xfId="5" applyFont="1" applyFill="1" applyBorder="1" applyAlignment="1" applyProtection="1">
      <alignment horizontal="center" vertical="center" wrapText="1"/>
    </xf>
    <xf numFmtId="0" fontId="21" fillId="60" borderId="84" xfId="5" applyFont="1" applyFill="1" applyBorder="1" applyAlignment="1" applyProtection="1">
      <alignment horizontal="center" wrapText="1"/>
    </xf>
    <xf numFmtId="0" fontId="21" fillId="60" borderId="88" xfId="5" applyFont="1" applyFill="1" applyBorder="1" applyAlignment="1" applyProtection="1">
      <alignment horizontal="center" vertical="center" wrapText="1"/>
    </xf>
    <xf numFmtId="0" fontId="21" fillId="60" borderId="53" xfId="5" applyNumberFormat="1" applyFont="1" applyFill="1" applyBorder="1" applyAlignment="1" applyProtection="1">
      <alignment horizontal="center" vertical="center" wrapText="1"/>
    </xf>
    <xf numFmtId="0" fontId="21" fillId="60" borderId="34" xfId="5" applyNumberFormat="1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wrapText="1"/>
    </xf>
    <xf numFmtId="0" fontId="21" fillId="60" borderId="47" xfId="5" applyFont="1" applyFill="1" applyBorder="1" applyAlignment="1" applyProtection="1">
      <alignment horizontal="center" vertical="center" wrapText="1"/>
    </xf>
    <xf numFmtId="3" fontId="17" fillId="60" borderId="8" xfId="7" applyNumberFormat="1" applyFont="1" applyFill="1" applyBorder="1" applyAlignment="1">
      <alignment horizontal="center" vertical="center" wrapText="1"/>
    </xf>
    <xf numFmtId="0" fontId="21" fillId="60" borderId="86" xfId="5" applyNumberFormat="1" applyFont="1" applyFill="1" applyBorder="1" applyAlignment="1" applyProtection="1">
      <alignment horizontal="center" vertical="center" wrapText="1"/>
    </xf>
    <xf numFmtId="3" fontId="17" fillId="60" borderId="34" xfId="7" applyNumberFormat="1" applyFont="1" applyFill="1" applyBorder="1" applyAlignment="1">
      <alignment horizontal="center" vertical="center" wrapText="1"/>
    </xf>
    <xf numFmtId="4" fontId="39" fillId="2" borderId="64" xfId="6" quotePrefix="1" applyNumberFormat="1" applyFont="1" applyFill="1" applyBorder="1" applyAlignment="1">
      <alignment horizontal="right" vertical="center" wrapText="1"/>
    </xf>
    <xf numFmtId="4" fontId="39" fillId="2" borderId="3" xfId="6" applyNumberFormat="1" applyFont="1" applyFill="1" applyBorder="1" applyAlignment="1" applyProtection="1">
      <alignment horizontal="right" vertical="center" wrapText="1"/>
    </xf>
    <xf numFmtId="4" fontId="39" fillId="2" borderId="3" xfId="6" quotePrefix="1" applyNumberFormat="1" applyFont="1" applyFill="1" applyBorder="1" applyAlignment="1">
      <alignment horizontal="right" vertical="center" wrapText="1"/>
    </xf>
    <xf numFmtId="4" fontId="39" fillId="2" borderId="3" xfId="6" applyNumberFormat="1" applyFont="1" applyFill="1" applyBorder="1" applyAlignment="1">
      <alignment horizontal="right" vertical="center" wrapText="1"/>
    </xf>
    <xf numFmtId="4" fontId="39" fillId="2" borderId="3" xfId="6" quotePrefix="1" applyNumberFormat="1" applyFont="1" applyFill="1" applyBorder="1" applyAlignment="1" applyProtection="1">
      <alignment horizontal="right" vertical="center" wrapText="1"/>
    </xf>
    <xf numFmtId="4" fontId="18" fillId="2" borderId="3" xfId="6" applyNumberFormat="1" applyFont="1" applyFill="1" applyBorder="1" applyAlignment="1" applyProtection="1">
      <alignment horizontal="right" wrapText="1"/>
    </xf>
    <xf numFmtId="0" fontId="73" fillId="60" borderId="89" xfId="34" quotePrefix="1" applyNumberFormat="1" applyFont="1" applyFill="1" applyBorder="1" applyAlignment="1" applyProtection="1">
      <alignment horizontal="left" vertical="center" wrapText="1" indent="1" justifyLastLine="1"/>
    </xf>
    <xf numFmtId="0" fontId="21" fillId="60" borderId="11" xfId="5" applyNumberFormat="1" applyFont="1" applyFill="1" applyBorder="1" applyAlignment="1" applyProtection="1">
      <alignment horizontal="center" vertical="center" wrapText="1"/>
    </xf>
    <xf numFmtId="3" fontId="17" fillId="60" borderId="11" xfId="7" applyNumberFormat="1" applyFont="1" applyFill="1" applyBorder="1" applyAlignment="1">
      <alignment horizontal="center" vertical="center" wrapText="1"/>
    </xf>
    <xf numFmtId="3" fontId="17" fillId="60" borderId="90" xfId="7" applyNumberFormat="1" applyFont="1" applyFill="1" applyBorder="1" applyAlignment="1">
      <alignment horizontal="center" vertical="center" wrapText="1"/>
    </xf>
    <xf numFmtId="0" fontId="73" fillId="60" borderId="38" xfId="34" quotePrefix="1" applyNumberFormat="1" applyFont="1" applyFill="1" applyBorder="1" applyAlignment="1" applyProtection="1">
      <alignment horizontal="left" vertical="center" wrapText="1" indent="1" justifyLastLine="1"/>
    </xf>
    <xf numFmtId="3" fontId="17" fillId="60" borderId="47" xfId="7" applyNumberFormat="1" applyFont="1" applyFill="1" applyBorder="1" applyAlignment="1">
      <alignment horizontal="center" vertical="center" wrapText="1"/>
    </xf>
    <xf numFmtId="3" fontId="39" fillId="2" borderId="64" xfId="6" quotePrefix="1" applyNumberFormat="1" applyFont="1" applyFill="1" applyBorder="1" applyAlignment="1">
      <alignment horizontal="right" vertical="center" wrapText="1"/>
    </xf>
    <xf numFmtId="3" fontId="39" fillId="2" borderId="71" xfId="6" quotePrefix="1" applyNumberFormat="1" applyFont="1" applyFill="1" applyBorder="1" applyAlignment="1">
      <alignment horizontal="right" vertical="center" wrapText="1"/>
    </xf>
    <xf numFmtId="3" fontId="39" fillId="2" borderId="65" xfId="6" quotePrefix="1" applyNumberFormat="1" applyFont="1" applyFill="1" applyBorder="1" applyAlignment="1">
      <alignment horizontal="right" vertical="center" wrapText="1"/>
    </xf>
    <xf numFmtId="3" fontId="15" fillId="2" borderId="64" xfId="20" applyNumberFormat="1" applyFont="1" applyFill="1" applyBorder="1" applyAlignment="1">
      <alignment horizontal="right" vertical="center"/>
    </xf>
    <xf numFmtId="3" fontId="15" fillId="2" borderId="71" xfId="20" applyNumberFormat="1" applyFont="1" applyFill="1" applyBorder="1" applyAlignment="1">
      <alignment horizontal="right" vertical="center"/>
    </xf>
    <xf numFmtId="3" fontId="15" fillId="2" borderId="65" xfId="20" applyNumberFormat="1" applyFont="1" applyFill="1" applyBorder="1" applyAlignment="1">
      <alignment horizontal="right" vertical="center"/>
    </xf>
    <xf numFmtId="3" fontId="15" fillId="2" borderId="12" xfId="20" applyNumberFormat="1" applyFont="1" applyFill="1" applyBorder="1" applyAlignment="1">
      <alignment horizontal="right" vertical="center"/>
    </xf>
    <xf numFmtId="3" fontId="15" fillId="2" borderId="16" xfId="20" applyNumberFormat="1" applyFont="1" applyFill="1" applyBorder="1" applyAlignment="1">
      <alignment horizontal="right" vertical="center"/>
    </xf>
    <xf numFmtId="3" fontId="39" fillId="2" borderId="3" xfId="6" applyNumberFormat="1" applyFont="1" applyFill="1" applyBorder="1" applyAlignment="1" applyProtection="1">
      <alignment horizontal="right" vertical="center" wrapText="1"/>
    </xf>
    <xf numFmtId="3" fontId="39" fillId="2" borderId="1" xfId="6" applyNumberFormat="1" applyFont="1" applyFill="1" applyBorder="1" applyAlignment="1" applyProtection="1">
      <alignment horizontal="right" vertical="center" wrapText="1"/>
    </xf>
    <xf numFmtId="3" fontId="39" fillId="2" borderId="2" xfId="6" applyNumberFormat="1" applyFont="1" applyFill="1" applyBorder="1" applyAlignment="1" applyProtection="1">
      <alignment horizontal="right" vertical="center" wrapText="1"/>
    </xf>
    <xf numFmtId="3" fontId="15" fillId="2" borderId="3" xfId="20" applyNumberFormat="1" applyFont="1" applyFill="1" applyBorder="1" applyAlignment="1">
      <alignment horizontal="right" vertical="center"/>
    </xf>
    <xf numFmtId="3" fontId="15" fillId="2" borderId="1" xfId="20" applyNumberFormat="1" applyFont="1" applyFill="1" applyBorder="1" applyAlignment="1">
      <alignment horizontal="right" vertical="center"/>
    </xf>
    <xf numFmtId="3" fontId="15" fillId="2" borderId="2" xfId="20" applyNumberFormat="1" applyFont="1" applyFill="1" applyBorder="1" applyAlignment="1">
      <alignment horizontal="right" vertical="center"/>
    </xf>
    <xf numFmtId="3" fontId="15" fillId="2" borderId="28" xfId="20" applyNumberFormat="1" applyFont="1" applyFill="1" applyBorder="1" applyAlignment="1">
      <alignment horizontal="right" vertical="center"/>
    </xf>
    <xf numFmtId="3" fontId="39" fillId="2" borderId="3" xfId="6" quotePrefix="1" applyNumberFormat="1" applyFont="1" applyFill="1" applyBorder="1" applyAlignment="1">
      <alignment horizontal="right" vertical="center" wrapText="1"/>
    </xf>
    <xf numFmtId="3" fontId="39" fillId="2" borderId="1" xfId="6" quotePrefix="1" applyNumberFormat="1" applyFont="1" applyFill="1" applyBorder="1" applyAlignment="1">
      <alignment horizontal="right" vertical="center" wrapText="1"/>
    </xf>
    <xf numFmtId="3" fontId="39" fillId="2" borderId="2" xfId="6" quotePrefix="1" applyNumberFormat="1" applyFont="1" applyFill="1" applyBorder="1" applyAlignment="1">
      <alignment horizontal="right" vertical="center" wrapText="1"/>
    </xf>
    <xf numFmtId="3" fontId="39" fillId="2" borderId="3" xfId="6" applyNumberFormat="1" applyFont="1" applyFill="1" applyBorder="1" applyAlignment="1">
      <alignment horizontal="right" vertical="center" wrapText="1"/>
    </xf>
    <xf numFmtId="3" fontId="39" fillId="2" borderId="1" xfId="6" applyNumberFormat="1" applyFont="1" applyFill="1" applyBorder="1" applyAlignment="1">
      <alignment horizontal="right" vertical="center" wrapText="1"/>
    </xf>
    <xf numFmtId="3" fontId="39" fillId="2" borderId="2" xfId="6" applyNumberFormat="1" applyFont="1" applyFill="1" applyBorder="1" applyAlignment="1">
      <alignment horizontal="right" vertical="center" wrapText="1"/>
    </xf>
    <xf numFmtId="3" fontId="39" fillId="2" borderId="3" xfId="6" quotePrefix="1" applyNumberFormat="1" applyFont="1" applyFill="1" applyBorder="1" applyAlignment="1" applyProtection="1">
      <alignment horizontal="right" vertical="center" wrapText="1"/>
    </xf>
    <xf numFmtId="3" fontId="39" fillId="2" borderId="1" xfId="6" quotePrefix="1" applyNumberFormat="1" applyFont="1" applyFill="1" applyBorder="1" applyAlignment="1" applyProtection="1">
      <alignment horizontal="right" vertical="center" wrapText="1"/>
    </xf>
    <xf numFmtId="3" fontId="39" fillId="2" borderId="2" xfId="6" quotePrefix="1" applyNumberFormat="1" applyFont="1" applyFill="1" applyBorder="1" applyAlignment="1" applyProtection="1">
      <alignment horizontal="right" vertical="center" wrapText="1"/>
    </xf>
    <xf numFmtId="3" fontId="18" fillId="2" borderId="3" xfId="6" applyNumberFormat="1" applyFont="1" applyFill="1" applyBorder="1" applyAlignment="1" applyProtection="1">
      <alignment horizontal="right" wrapText="1"/>
    </xf>
    <xf numFmtId="3" fontId="18" fillId="2" borderId="1" xfId="6" applyNumberFormat="1" applyFont="1" applyFill="1" applyBorder="1" applyAlignment="1" applyProtection="1">
      <alignment horizontal="right" wrapText="1"/>
    </xf>
    <xf numFmtId="3" fontId="18" fillId="2" borderId="2" xfId="6" applyNumberFormat="1" applyFont="1" applyFill="1" applyBorder="1" applyAlignment="1" applyProtection="1">
      <alignment horizontal="right" wrapText="1"/>
    </xf>
    <xf numFmtId="3" fontId="15" fillId="0" borderId="85" xfId="7" applyNumberFormat="1" applyFont="1" applyFill="1" applyBorder="1" applyAlignment="1">
      <alignment horizontal="right" vertical="center"/>
    </xf>
    <xf numFmtId="3" fontId="15" fillId="0" borderId="5" xfId="7" applyNumberFormat="1" applyFont="1" applyFill="1" applyBorder="1" applyAlignment="1">
      <alignment horizontal="right" vertical="center"/>
    </xf>
    <xf numFmtId="3" fontId="15" fillId="0" borderId="6" xfId="7" applyNumberFormat="1" applyFont="1" applyFill="1" applyBorder="1" applyAlignment="1">
      <alignment horizontal="right" vertical="center"/>
    </xf>
    <xf numFmtId="3" fontId="13" fillId="60" borderId="8" xfId="0" applyNumberFormat="1" applyFont="1" applyFill="1" applyBorder="1" applyAlignment="1">
      <alignment horizontal="right" vertical="center" wrapText="1"/>
    </xf>
    <xf numFmtId="3" fontId="13" fillId="60" borderId="9" xfId="0" applyNumberFormat="1" applyFont="1" applyFill="1" applyBorder="1" applyAlignment="1">
      <alignment horizontal="right" vertical="center" wrapText="1"/>
    </xf>
    <xf numFmtId="3" fontId="13" fillId="60" borderId="10" xfId="0" applyNumberFormat="1" applyFont="1" applyFill="1" applyBorder="1" applyAlignment="1">
      <alignment horizontal="right" vertical="center" wrapText="1"/>
    </xf>
    <xf numFmtId="3" fontId="13" fillId="60" borderId="11" xfId="0" applyNumberFormat="1" applyFont="1" applyFill="1" applyBorder="1" applyAlignment="1">
      <alignment horizontal="right" vertical="center" wrapText="1"/>
    </xf>
    <xf numFmtId="3" fontId="13" fillId="60" borderId="43" xfId="0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/>
    </xf>
    <xf numFmtId="0" fontId="18" fillId="0" borderId="18" xfId="6" applyNumberFormat="1" applyFont="1" applyFill="1" applyBorder="1" applyAlignment="1" applyProtection="1">
      <alignment horizontal="right" vertical="center" wrapText="1"/>
    </xf>
    <xf numFmtId="0" fontId="39" fillId="0" borderId="18" xfId="6" applyNumberFormat="1" applyFont="1" applyFill="1" applyBorder="1" applyAlignment="1" applyProtection="1">
      <alignment horizontal="left" vertical="center" wrapText="1"/>
    </xf>
    <xf numFmtId="3" fontId="39" fillId="0" borderId="3" xfId="6" applyNumberFormat="1" applyFont="1" applyFill="1" applyBorder="1" applyAlignment="1" applyProtection="1">
      <alignment horizontal="right" vertical="center" wrapText="1"/>
    </xf>
    <xf numFmtId="3" fontId="39" fillId="0" borderId="1" xfId="6" applyNumberFormat="1" applyFont="1" applyFill="1" applyBorder="1" applyAlignment="1" applyProtection="1">
      <alignment horizontal="right" vertical="center" wrapText="1"/>
    </xf>
    <xf numFmtId="3" fontId="39" fillId="0" borderId="2" xfId="6" applyNumberFormat="1" applyFont="1" applyFill="1" applyBorder="1" applyAlignment="1" applyProtection="1">
      <alignment horizontal="right" vertical="center" wrapText="1"/>
    </xf>
    <xf numFmtId="3" fontId="15" fillId="0" borderId="3" xfId="20" applyNumberFormat="1" applyFont="1" applyFill="1" applyBorder="1" applyAlignment="1">
      <alignment horizontal="right" vertical="center"/>
    </xf>
    <xf numFmtId="3" fontId="15" fillId="0" borderId="1" xfId="20" applyNumberFormat="1" applyFont="1" applyFill="1" applyBorder="1" applyAlignment="1">
      <alignment horizontal="right" vertical="center"/>
    </xf>
    <xf numFmtId="3" fontId="15" fillId="0" borderId="2" xfId="20" applyNumberFormat="1" applyFont="1" applyFill="1" applyBorder="1" applyAlignment="1">
      <alignment horizontal="right" vertical="center"/>
    </xf>
    <xf numFmtId="3" fontId="15" fillId="0" borderId="12" xfId="20" applyNumberFormat="1" applyFont="1" applyFill="1" applyBorder="1" applyAlignment="1">
      <alignment horizontal="right" vertical="center"/>
    </xf>
    <xf numFmtId="3" fontId="15" fillId="0" borderId="28" xfId="20" applyNumberFormat="1" applyFont="1" applyFill="1" applyBorder="1" applyAlignment="1">
      <alignment horizontal="right" vertical="center"/>
    </xf>
    <xf numFmtId="0" fontId="18" fillId="0" borderId="18" xfId="6" applyNumberFormat="1" applyFont="1" applyFill="1" applyBorder="1" applyAlignment="1" applyProtection="1">
      <alignment wrapText="1"/>
    </xf>
    <xf numFmtId="3" fontId="18" fillId="0" borderId="3" xfId="6" applyNumberFormat="1" applyFont="1" applyFill="1" applyBorder="1" applyAlignment="1" applyProtection="1">
      <alignment horizontal="right" wrapText="1"/>
    </xf>
    <xf numFmtId="3" fontId="18" fillId="0" borderId="1" xfId="6" applyNumberFormat="1" applyFont="1" applyFill="1" applyBorder="1" applyAlignment="1" applyProtection="1">
      <alignment horizontal="right" wrapText="1"/>
    </xf>
    <xf numFmtId="3" fontId="18" fillId="0" borderId="2" xfId="6" applyNumberFormat="1" applyFont="1" applyFill="1" applyBorder="1" applyAlignment="1" applyProtection="1">
      <alignment horizontal="right" wrapText="1"/>
    </xf>
    <xf numFmtId="4" fontId="18" fillId="0" borderId="3" xfId="6" applyNumberFormat="1" applyFont="1" applyFill="1" applyBorder="1" applyAlignment="1" applyProtection="1">
      <alignment horizontal="right" wrapText="1"/>
    </xf>
    <xf numFmtId="4" fontId="18" fillId="0" borderId="1" xfId="6" applyNumberFormat="1" applyFont="1" applyFill="1" applyBorder="1" applyAlignment="1" applyProtection="1">
      <alignment horizontal="right" wrapText="1"/>
    </xf>
    <xf numFmtId="4" fontId="39" fillId="0" borderId="3" xfId="6" applyNumberFormat="1" applyFont="1" applyFill="1" applyBorder="1" applyAlignment="1" applyProtection="1">
      <alignment horizontal="right" vertical="center" wrapText="1"/>
    </xf>
    <xf numFmtId="4" fontId="39" fillId="0" borderId="1" xfId="6" applyNumberFormat="1" applyFont="1" applyFill="1" applyBorder="1" applyAlignment="1" applyProtection="1">
      <alignment horizontal="right" vertical="center" wrapText="1"/>
    </xf>
    <xf numFmtId="0" fontId="74" fillId="2" borderId="0" xfId="0" applyFont="1" applyFill="1"/>
    <xf numFmtId="3" fontId="17" fillId="60" borderId="12" xfId="20" applyNumberFormat="1" applyFont="1" applyFill="1" applyBorder="1" applyAlignment="1">
      <alignment horizontal="right" vertical="center"/>
    </xf>
    <xf numFmtId="3" fontId="74" fillId="2" borderId="0" xfId="0" applyNumberFormat="1" applyFont="1" applyFill="1" applyAlignment="1">
      <alignment horizontal="right"/>
    </xf>
    <xf numFmtId="4" fontId="74" fillId="2" borderId="0" xfId="0" applyNumberFormat="1" applyFont="1" applyFill="1" applyAlignment="1">
      <alignment horizontal="right"/>
    </xf>
    <xf numFmtId="3" fontId="17" fillId="60" borderId="26" xfId="20" applyNumberFormat="1" applyFont="1" applyFill="1" applyBorder="1" applyAlignment="1">
      <alignment horizontal="right" vertical="center"/>
    </xf>
    <xf numFmtId="3" fontId="17" fillId="60" borderId="18" xfId="20" applyNumberFormat="1" applyFont="1" applyFill="1" applyBorder="1" applyAlignment="1">
      <alignment horizontal="right" vertical="center"/>
    </xf>
    <xf numFmtId="3" fontId="17" fillId="60" borderId="19" xfId="20" applyNumberFormat="1" applyFont="1" applyFill="1" applyBorder="1" applyAlignment="1">
      <alignment horizontal="right" vertical="center"/>
    </xf>
    <xf numFmtId="3" fontId="15" fillId="2" borderId="15" xfId="20" applyNumberFormat="1" applyFont="1" applyFill="1" applyBorder="1" applyAlignment="1">
      <alignment horizontal="right" vertical="center"/>
    </xf>
    <xf numFmtId="3" fontId="15" fillId="2" borderId="87" xfId="20" applyNumberFormat="1" applyFont="1" applyFill="1" applyBorder="1" applyAlignment="1">
      <alignment horizontal="right" vertical="center"/>
    </xf>
    <xf numFmtId="3" fontId="13" fillId="60" borderId="78" xfId="0" applyNumberFormat="1" applyFont="1" applyFill="1" applyBorder="1" applyAlignment="1">
      <alignment horizontal="right" vertical="center" wrapText="1"/>
    </xf>
    <xf numFmtId="3" fontId="75" fillId="2" borderId="26" xfId="6" quotePrefix="1" applyNumberFormat="1" applyFont="1" applyFill="1" applyBorder="1" applyAlignment="1">
      <alignment horizontal="right" vertical="center" wrapText="1"/>
    </xf>
    <xf numFmtId="3" fontId="75" fillId="2" borderId="18" xfId="6" quotePrefix="1" applyNumberFormat="1" applyFont="1" applyFill="1" applyBorder="1" applyAlignment="1">
      <alignment horizontal="right" vertical="center" wrapText="1"/>
    </xf>
    <xf numFmtId="3" fontId="75" fillId="0" borderId="18" xfId="6" quotePrefix="1" applyNumberFormat="1" applyFont="1" applyFill="1" applyBorder="1" applyAlignment="1">
      <alignment horizontal="right" vertical="center" wrapText="1"/>
    </xf>
    <xf numFmtId="3" fontId="75" fillId="2" borderId="19" xfId="6" quotePrefix="1" applyNumberFormat="1" applyFont="1" applyFill="1" applyBorder="1" applyAlignment="1">
      <alignment horizontal="right" vertical="center" wrapText="1"/>
    </xf>
    <xf numFmtId="4" fontId="55" fillId="27" borderId="1" xfId="0" applyNumberFormat="1" applyFont="1" applyFill="1" applyBorder="1" applyAlignment="1">
      <alignment horizontal="right" vertical="center"/>
    </xf>
    <xf numFmtId="4" fontId="55" fillId="28" borderId="1" xfId="0" applyNumberFormat="1" applyFont="1" applyFill="1" applyBorder="1" applyAlignment="1">
      <alignment horizontal="right" vertical="center"/>
    </xf>
    <xf numFmtId="4" fontId="40" fillId="27" borderId="1" xfId="0" applyNumberFormat="1" applyFont="1" applyFill="1" applyBorder="1" applyAlignment="1">
      <alignment horizontal="right" vertical="center"/>
    </xf>
    <xf numFmtId="4" fontId="40" fillId="28" borderId="1" xfId="0" applyNumberFormat="1" applyFont="1" applyFill="1" applyBorder="1" applyAlignment="1">
      <alignment horizontal="right" vertical="center"/>
    </xf>
    <xf numFmtId="4" fontId="54" fillId="2" borderId="0" xfId="0" applyNumberFormat="1" applyFont="1" applyFill="1"/>
    <xf numFmtId="4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wrapText="1"/>
    </xf>
    <xf numFmtId="0" fontId="18" fillId="27" borderId="18" xfId="6" applyNumberFormat="1" applyFont="1" applyFill="1" applyBorder="1" applyAlignment="1" applyProtection="1">
      <alignment horizontal="right" vertical="center" wrapText="1"/>
    </xf>
    <xf numFmtId="0" fontId="18" fillId="27" borderId="75" xfId="6" applyNumberFormat="1" applyFont="1" applyFill="1" applyBorder="1" applyAlignment="1" applyProtection="1">
      <alignment wrapText="1"/>
    </xf>
    <xf numFmtId="3" fontId="15" fillId="27" borderId="28" xfId="20" applyNumberFormat="1" applyFont="1" applyFill="1" applyBorder="1" applyAlignment="1">
      <alignment vertical="center"/>
    </xf>
    <xf numFmtId="3" fontId="15" fillId="27" borderId="2" xfId="20" applyNumberFormat="1" applyFont="1" applyFill="1" applyBorder="1" applyAlignment="1">
      <alignment vertical="center"/>
    </xf>
    <xf numFmtId="3" fontId="15" fillId="27" borderId="12" xfId="20" applyNumberFormat="1" applyFont="1" applyFill="1" applyBorder="1" applyAlignment="1">
      <alignment vertical="center"/>
    </xf>
    <xf numFmtId="3" fontId="15" fillId="27" borderId="29" xfId="20" applyNumberFormat="1" applyFont="1" applyFill="1" applyBorder="1" applyAlignment="1">
      <alignment vertical="center"/>
    </xf>
    <xf numFmtId="3" fontId="15" fillId="27" borderId="73" xfId="20" applyNumberFormat="1" applyFont="1" applyFill="1" applyBorder="1" applyAlignment="1">
      <alignment vertical="center"/>
    </xf>
    <xf numFmtId="3" fontId="17" fillId="27" borderId="28" xfId="7" applyNumberFormat="1" applyFont="1" applyFill="1" applyBorder="1" applyAlignment="1">
      <alignment vertical="center"/>
    </xf>
    <xf numFmtId="3" fontId="17" fillId="27" borderId="2" xfId="7" applyNumberFormat="1" applyFont="1" applyFill="1" applyBorder="1" applyAlignment="1">
      <alignment vertical="center"/>
    </xf>
    <xf numFmtId="3" fontId="17" fillId="27" borderId="18" xfId="7" applyNumberFormat="1" applyFont="1" applyFill="1" applyBorder="1" applyAlignment="1">
      <alignment vertical="center"/>
    </xf>
    <xf numFmtId="3" fontId="15" fillId="27" borderId="3" xfId="7" applyNumberFormat="1" applyFont="1" applyFill="1" applyBorder="1" applyAlignment="1">
      <alignment vertical="center"/>
    </xf>
    <xf numFmtId="3" fontId="15" fillId="27" borderId="2" xfId="7" applyNumberFormat="1" applyFont="1" applyFill="1" applyBorder="1" applyAlignment="1">
      <alignment vertical="center"/>
    </xf>
    <xf numFmtId="2" fontId="58" fillId="27" borderId="16" xfId="0" applyNumberFormat="1" applyFont="1" applyFill="1" applyBorder="1" applyAlignment="1">
      <alignment horizontal="center" vertical="center"/>
    </xf>
    <xf numFmtId="2" fontId="58" fillId="27" borderId="17" xfId="0" applyNumberFormat="1" applyFont="1" applyFill="1" applyBorder="1" applyAlignment="1">
      <alignment horizontal="center" vertical="center"/>
    </xf>
    <xf numFmtId="0" fontId="7" fillId="27" borderId="0" xfId="0" applyFont="1" applyFill="1"/>
    <xf numFmtId="4" fontId="54" fillId="2" borderId="17" xfId="0" applyNumberFormat="1" applyFont="1" applyFill="1" applyBorder="1"/>
    <xf numFmtId="4" fontId="54" fillId="2" borderId="29" xfId="0" applyNumberFormat="1" applyFont="1" applyFill="1" applyBorder="1"/>
    <xf numFmtId="4" fontId="54" fillId="2" borderId="54" xfId="0" applyNumberFormat="1" applyFont="1" applyFill="1" applyBorder="1"/>
    <xf numFmtId="2" fontId="54" fillId="2" borderId="0" xfId="0" applyNumberFormat="1" applyFont="1" applyFill="1" applyAlignment="1">
      <alignment horizontal="right" vertical="center"/>
    </xf>
    <xf numFmtId="2" fontId="54" fillId="2" borderId="7" xfId="0" applyNumberFormat="1" applyFont="1" applyFill="1" applyBorder="1" applyAlignment="1">
      <alignment horizontal="right" vertical="center" wrapText="1"/>
    </xf>
    <xf numFmtId="4" fontId="54" fillId="2" borderId="14" xfId="0" applyNumberFormat="1" applyFont="1" applyFill="1" applyBorder="1" applyAlignment="1">
      <alignment horizontal="right" vertical="center"/>
    </xf>
    <xf numFmtId="4" fontId="54" fillId="2" borderId="1" xfId="0" applyNumberFormat="1" applyFont="1" applyFill="1" applyBorder="1" applyAlignment="1">
      <alignment horizontal="right" vertical="center"/>
    </xf>
    <xf numFmtId="4" fontId="54" fillId="2" borderId="34" xfId="0" applyNumberFormat="1" applyFont="1" applyFill="1" applyBorder="1" applyAlignment="1">
      <alignment horizontal="right" vertical="center"/>
    </xf>
    <xf numFmtId="4" fontId="54" fillId="2" borderId="24" xfId="0" applyNumberFormat="1" applyFont="1" applyFill="1" applyBorder="1" applyAlignment="1">
      <alignment horizontal="right" vertical="center"/>
    </xf>
    <xf numFmtId="4" fontId="76" fillId="2" borderId="0" xfId="0" applyNumberFormat="1" applyFont="1" applyFill="1"/>
    <xf numFmtId="0" fontId="18" fillId="27" borderId="18" xfId="6" applyNumberFormat="1" applyFont="1" applyFill="1" applyBorder="1" applyAlignment="1" applyProtection="1">
      <alignment wrapText="1"/>
    </xf>
    <xf numFmtId="3" fontId="18" fillId="27" borderId="3" xfId="6" applyNumberFormat="1" applyFont="1" applyFill="1" applyBorder="1" applyAlignment="1" applyProtection="1">
      <alignment horizontal="right" wrapText="1"/>
    </xf>
    <xf numFmtId="3" fontId="18" fillId="27" borderId="1" xfId="6" applyNumberFormat="1" applyFont="1" applyFill="1" applyBorder="1" applyAlignment="1" applyProtection="1">
      <alignment horizontal="right" wrapText="1"/>
    </xf>
    <xf numFmtId="3" fontId="18" fillId="27" borderId="2" xfId="6" applyNumberFormat="1" applyFont="1" applyFill="1" applyBorder="1" applyAlignment="1" applyProtection="1">
      <alignment horizontal="right" wrapText="1"/>
    </xf>
    <xf numFmtId="3" fontId="75" fillId="27" borderId="18" xfId="6" quotePrefix="1" applyNumberFormat="1" applyFont="1" applyFill="1" applyBorder="1" applyAlignment="1">
      <alignment horizontal="right" vertical="center" wrapText="1"/>
    </xf>
    <xf numFmtId="4" fontId="18" fillId="27" borderId="3" xfId="6" applyNumberFormat="1" applyFont="1" applyFill="1" applyBorder="1" applyAlignment="1" applyProtection="1">
      <alignment horizontal="right" wrapText="1"/>
    </xf>
    <xf numFmtId="4" fontId="18" fillId="27" borderId="1" xfId="6" applyNumberFormat="1" applyFont="1" applyFill="1" applyBorder="1" applyAlignment="1" applyProtection="1">
      <alignment horizontal="right" wrapText="1"/>
    </xf>
    <xf numFmtId="3" fontId="17" fillId="27" borderId="18" xfId="20" applyNumberFormat="1" applyFont="1" applyFill="1" applyBorder="1" applyAlignment="1">
      <alignment horizontal="right" vertical="center"/>
    </xf>
    <xf numFmtId="3" fontId="15" fillId="27" borderId="3" xfId="20" applyNumberFormat="1" applyFont="1" applyFill="1" applyBorder="1" applyAlignment="1">
      <alignment horizontal="right" vertical="center"/>
    </xf>
    <xf numFmtId="3" fontId="15" fillId="27" borderId="1" xfId="20" applyNumberFormat="1" applyFont="1" applyFill="1" applyBorder="1" applyAlignment="1">
      <alignment horizontal="right" vertical="center"/>
    </xf>
    <xf numFmtId="3" fontId="15" fillId="27" borderId="2" xfId="20" applyNumberFormat="1" applyFont="1" applyFill="1" applyBorder="1" applyAlignment="1">
      <alignment horizontal="right" vertical="center"/>
    </xf>
    <xf numFmtId="3" fontId="17" fillId="27" borderId="12" xfId="20" applyNumberFormat="1" applyFont="1" applyFill="1" applyBorder="1" applyAlignment="1">
      <alignment horizontal="right" vertical="center"/>
    </xf>
    <xf numFmtId="3" fontId="15" fillId="27" borderId="12" xfId="20" applyNumberFormat="1" applyFont="1" applyFill="1" applyBorder="1" applyAlignment="1">
      <alignment horizontal="right" vertical="center"/>
    </xf>
    <xf numFmtId="3" fontId="15" fillId="27" borderId="28" xfId="20" applyNumberFormat="1" applyFont="1" applyFill="1" applyBorder="1" applyAlignment="1">
      <alignment horizontal="right" vertical="center"/>
    </xf>
    <xf numFmtId="4" fontId="0" fillId="27" borderId="0" xfId="0" applyNumberFormat="1" applyFill="1" applyAlignment="1">
      <alignment horizontal="right"/>
    </xf>
    <xf numFmtId="0" fontId="0" fillId="27" borderId="0" xfId="0" applyFill="1"/>
    <xf numFmtId="1" fontId="59" fillId="19" borderId="66" xfId="0" applyNumberFormat="1" applyFont="1" applyFill="1" applyBorder="1" applyAlignment="1">
      <alignment horizontal="center" vertical="center"/>
    </xf>
    <xf numFmtId="0" fontId="59" fillId="19" borderId="91" xfId="0" applyFont="1" applyFill="1" applyBorder="1" applyAlignment="1">
      <alignment horizontal="center" wrapText="1"/>
    </xf>
    <xf numFmtId="1" fontId="59" fillId="19" borderId="91" xfId="0" applyNumberFormat="1" applyFont="1" applyFill="1" applyBorder="1" applyAlignment="1">
      <alignment horizontal="left" vertical="center" wrapText="1"/>
    </xf>
    <xf numFmtId="0" fontId="59" fillId="19" borderId="91" xfId="0" applyFont="1" applyFill="1" applyBorder="1" applyAlignment="1">
      <alignment horizontal="left" wrapText="1"/>
    </xf>
    <xf numFmtId="0" fontId="59" fillId="19" borderId="91" xfId="0" applyFont="1" applyFill="1" applyBorder="1" applyAlignment="1">
      <alignment horizontal="left" vertical="center" wrapText="1"/>
    </xf>
    <xf numFmtId="4" fontId="59" fillId="19" borderId="91" xfId="0" applyNumberFormat="1" applyFont="1" applyFill="1" applyBorder="1" applyAlignment="1">
      <alignment horizontal="center" vertical="center"/>
    </xf>
    <xf numFmtId="4" fontId="59" fillId="19" borderId="69" xfId="0" applyNumberFormat="1" applyFont="1" applyFill="1" applyBorder="1" applyAlignment="1">
      <alignment horizontal="right" vertical="center"/>
    </xf>
    <xf numFmtId="0" fontId="54" fillId="27" borderId="0" xfId="0" applyFont="1" applyFill="1"/>
    <xf numFmtId="1" fontId="54" fillId="27" borderId="28" xfId="0" applyNumberFormat="1" applyFont="1" applyFill="1" applyBorder="1" applyAlignment="1">
      <alignment horizontal="center"/>
    </xf>
    <xf numFmtId="0" fontId="54" fillId="27" borderId="1" xfId="0" applyFont="1" applyFill="1" applyBorder="1" applyAlignment="1">
      <alignment horizontal="center" wrapText="1"/>
    </xf>
    <xf numFmtId="1" fontId="54" fillId="27" borderId="1" xfId="0" applyNumberFormat="1" applyFont="1" applyFill="1" applyBorder="1" applyAlignment="1">
      <alignment horizontal="left" vertical="center" wrapText="1"/>
    </xf>
    <xf numFmtId="0" fontId="54" fillId="27" borderId="1" xfId="0" applyFont="1" applyFill="1" applyBorder="1" applyAlignment="1">
      <alignment horizontal="left" wrapText="1"/>
    </xf>
    <xf numFmtId="0" fontId="54" fillId="27" borderId="1" xfId="0" applyFont="1" applyFill="1" applyBorder="1" applyAlignment="1">
      <alignment horizontal="left" vertical="center" wrapText="1"/>
    </xf>
    <xf numFmtId="4" fontId="54" fillId="27" borderId="1" xfId="0" applyNumberFormat="1" applyFont="1" applyFill="1" applyBorder="1" applyAlignment="1">
      <alignment horizontal="center" vertical="center"/>
    </xf>
    <xf numFmtId="4" fontId="54" fillId="27" borderId="2" xfId="0" applyNumberFormat="1" applyFont="1" applyFill="1" applyBorder="1" applyAlignment="1">
      <alignment horizontal="right" vertical="center"/>
    </xf>
    <xf numFmtId="4" fontId="54" fillId="27" borderId="1" xfId="0" applyNumberFormat="1" applyFont="1" applyFill="1" applyBorder="1" applyAlignment="1">
      <alignment horizontal="right" vertical="center"/>
    </xf>
    <xf numFmtId="4" fontId="54" fillId="27" borderId="29" xfId="0" applyNumberFormat="1" applyFont="1" applyFill="1" applyBorder="1"/>
    <xf numFmtId="0" fontId="55" fillId="27" borderId="5" xfId="0" applyFont="1" applyFill="1" applyBorder="1" applyAlignment="1">
      <alignment horizontal="center" wrapText="1"/>
    </xf>
    <xf numFmtId="1" fontId="55" fillId="27" borderId="5" xfId="0" applyNumberFormat="1" applyFont="1" applyFill="1" applyBorder="1" applyAlignment="1">
      <alignment horizontal="left" vertical="center" wrapText="1"/>
    </xf>
    <xf numFmtId="0" fontId="55" fillId="27" borderId="5" xfId="0" applyFont="1" applyFill="1" applyBorder="1" applyAlignment="1">
      <alignment horizontal="left" wrapText="1"/>
    </xf>
    <xf numFmtId="0" fontId="55" fillId="27" borderId="5" xfId="0" applyFont="1" applyFill="1" applyBorder="1" applyAlignment="1">
      <alignment horizontal="left" vertical="center" wrapText="1"/>
    </xf>
    <xf numFmtId="4" fontId="55" fillId="27" borderId="5" xfId="0" applyNumberFormat="1" applyFont="1" applyFill="1" applyBorder="1" applyAlignment="1">
      <alignment horizontal="center" vertical="center"/>
    </xf>
    <xf numFmtId="4" fontId="55" fillId="27" borderId="6" xfId="0" applyNumberFormat="1" applyFont="1" applyFill="1" applyBorder="1" applyAlignment="1">
      <alignment horizontal="right" vertical="center"/>
    </xf>
    <xf numFmtId="4" fontId="55" fillId="27" borderId="70" xfId="0" applyNumberFormat="1" applyFont="1" applyFill="1" applyBorder="1" applyAlignment="1">
      <alignment horizontal="right" vertical="center"/>
    </xf>
    <xf numFmtId="1" fontId="55" fillId="27" borderId="33" xfId="0" applyNumberFormat="1" applyFont="1" applyFill="1" applyBorder="1" applyAlignment="1">
      <alignment horizontal="left"/>
    </xf>
    <xf numFmtId="0" fontId="33" fillId="2" borderId="0" xfId="20" applyFont="1" applyAlignment="1" applyProtection="1">
      <alignment horizontal="left"/>
    </xf>
    <xf numFmtId="0" fontId="37" fillId="2" borderId="0" xfId="20" applyFont="1" applyAlignment="1" applyProtection="1">
      <alignment horizontal="center" vertical="center" wrapText="1"/>
    </xf>
    <xf numFmtId="0" fontId="33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1" fontId="60" fillId="2" borderId="0" xfId="0" applyNumberFormat="1" applyFont="1" applyFill="1" applyBorder="1" applyAlignment="1">
      <alignment horizontal="center"/>
    </xf>
    <xf numFmtId="1" fontId="54" fillId="2" borderId="0" xfId="0" applyNumberFormat="1" applyFont="1" applyFill="1" applyBorder="1" applyAlignment="1">
      <alignment horizontal="left"/>
    </xf>
    <xf numFmtId="0" fontId="41" fillId="2" borderId="0" xfId="5" applyNumberFormat="1" applyFont="1" applyFill="1" applyBorder="1" applyAlignment="1" applyProtection="1">
      <alignment horizontal="center" vertical="center" wrapText="1"/>
    </xf>
    <xf numFmtId="1" fontId="42" fillId="12" borderId="49" xfId="5" applyNumberFormat="1" applyFont="1" applyFill="1" applyBorder="1" applyAlignment="1" applyProtection="1">
      <alignment horizontal="center" vertical="center" wrapText="1"/>
    </xf>
    <xf numFmtId="1" fontId="42" fillId="12" borderId="50" xfId="5" applyNumberFormat="1" applyFont="1" applyFill="1" applyBorder="1" applyAlignment="1" applyProtection="1">
      <alignment horizontal="center" vertical="center" wrapText="1"/>
    </xf>
    <xf numFmtId="1" fontId="42" fillId="12" borderId="55" xfId="5" applyNumberFormat="1" applyFont="1" applyFill="1" applyBorder="1" applyAlignment="1" applyProtection="1">
      <alignment horizontal="center" vertical="center" wrapText="1"/>
    </xf>
    <xf numFmtId="1" fontId="42" fillId="12" borderId="45" xfId="5" applyNumberFormat="1" applyFont="1" applyFill="1" applyBorder="1" applyAlignment="1" applyProtection="1">
      <alignment horizontal="center" vertical="center" wrapText="1"/>
    </xf>
    <xf numFmtId="0" fontId="42" fillId="12" borderId="60" xfId="5" applyFont="1" applyFill="1" applyBorder="1" applyAlignment="1" applyProtection="1">
      <alignment horizontal="center" vertical="center"/>
    </xf>
    <xf numFmtId="0" fontId="42" fillId="12" borderId="61" xfId="5" applyFont="1" applyFill="1" applyBorder="1" applyAlignment="1" applyProtection="1">
      <alignment horizontal="center" vertical="center"/>
    </xf>
    <xf numFmtId="0" fontId="42" fillId="12" borderId="62" xfId="5" applyFont="1" applyFill="1" applyBorder="1" applyAlignment="1" applyProtection="1">
      <alignment horizontal="center" vertical="center"/>
    </xf>
    <xf numFmtId="3" fontId="53" fillId="25" borderId="39" xfId="5" applyNumberFormat="1" applyFont="1" applyFill="1" applyBorder="1" applyAlignment="1" applyProtection="1">
      <alignment horizontal="center" vertical="center" wrapText="1"/>
    </xf>
    <xf numFmtId="3" fontId="53" fillId="25" borderId="52" xfId="5" applyNumberFormat="1" applyFont="1" applyFill="1" applyBorder="1" applyAlignment="1" applyProtection="1">
      <alignment horizontal="center" vertical="center" wrapText="1"/>
    </xf>
    <xf numFmtId="0" fontId="16" fillId="2" borderId="0" xfId="5" applyFont="1" applyBorder="1" applyAlignment="1" applyProtection="1">
      <alignment horizontal="center"/>
    </xf>
    <xf numFmtId="3" fontId="49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81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6" xfId="7" applyNumberFormat="1" applyFont="1" applyFill="1" applyBorder="1" applyAlignment="1">
      <alignment horizontal="center" vertical="center" wrapText="1"/>
    </xf>
    <xf numFmtId="3" fontId="19" fillId="0" borderId="77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6" xfId="7" applyNumberFormat="1" applyFont="1" applyFill="1" applyBorder="1" applyAlignment="1">
      <alignment horizontal="center" vertical="center" wrapText="1"/>
    </xf>
    <xf numFmtId="3" fontId="17" fillId="0" borderId="83" xfId="7" applyNumberFormat="1" applyFont="1" applyFill="1" applyBorder="1" applyAlignment="1">
      <alignment horizontal="center" vertical="center" wrapText="1"/>
    </xf>
    <xf numFmtId="3" fontId="17" fillId="0" borderId="69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63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2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3" fontId="17" fillId="0" borderId="67" xfId="7" applyNumberFormat="1" applyFont="1" applyFill="1" applyBorder="1" applyAlignment="1">
      <alignment horizontal="center" vertical="center" wrapText="1"/>
    </xf>
    <xf numFmtId="2" fontId="56" fillId="0" borderId="21" xfId="0" applyNumberFormat="1" applyFont="1" applyFill="1" applyBorder="1" applyAlignment="1">
      <alignment horizontal="center" vertical="center" wrapText="1"/>
    </xf>
    <xf numFmtId="2" fontId="56" fillId="0" borderId="22" xfId="0" applyNumberFormat="1" applyFont="1" applyFill="1" applyBorder="1" applyAlignment="1">
      <alignment horizontal="center" vertical="center" wrapText="1"/>
    </xf>
    <xf numFmtId="2" fontId="56" fillId="0" borderId="28" xfId="0" applyNumberFormat="1" applyFont="1" applyFill="1" applyBorder="1" applyAlignment="1">
      <alignment horizontal="center" vertical="center" wrapText="1"/>
    </xf>
    <xf numFmtId="2" fontId="56" fillId="0" borderId="29" xfId="0" applyNumberFormat="1" applyFont="1" applyFill="1" applyBorder="1" applyAlignment="1">
      <alignment horizontal="center" vertical="center" wrapText="1"/>
    </xf>
    <xf numFmtId="2" fontId="56" fillId="0" borderId="23" xfId="0" applyNumberFormat="1" applyFont="1" applyFill="1" applyBorder="1" applyAlignment="1">
      <alignment horizontal="center" vertical="center" wrapText="1"/>
    </xf>
    <xf numFmtId="2" fontId="56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/>
    </xf>
    <xf numFmtId="0" fontId="56" fillId="0" borderId="38" xfId="0" applyFont="1" applyFill="1" applyBorder="1" applyAlignment="1">
      <alignment horizontal="center" vertical="center"/>
    </xf>
    <xf numFmtId="0" fontId="56" fillId="0" borderId="40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68" xfId="7" applyNumberFormat="1" applyFont="1" applyFill="1" applyBorder="1" applyAlignment="1">
      <alignment horizontal="center" vertical="center" wrapText="1"/>
    </xf>
    <xf numFmtId="3" fontId="17" fillId="60" borderId="32" xfId="7" applyNumberFormat="1" applyFont="1" applyFill="1" applyBorder="1" applyAlignment="1">
      <alignment horizontal="center" vertical="center" wrapText="1"/>
    </xf>
    <xf numFmtId="3" fontId="17" fillId="60" borderId="63" xfId="7" applyNumberFormat="1" applyFont="1" applyFill="1" applyBorder="1" applyAlignment="1">
      <alignment horizontal="center" vertical="center" wrapText="1"/>
    </xf>
    <xf numFmtId="3" fontId="17" fillId="60" borderId="43" xfId="7" applyNumberFormat="1" applyFont="1" applyFill="1" applyBorder="1" applyAlignment="1">
      <alignment horizontal="center" vertical="center" wrapText="1"/>
    </xf>
    <xf numFmtId="3" fontId="17" fillId="60" borderId="21" xfId="7" applyNumberFormat="1" applyFont="1" applyFill="1" applyBorder="1" applyAlignment="1">
      <alignment horizontal="center" vertical="center" wrapText="1"/>
    </xf>
    <xf numFmtId="3" fontId="17" fillId="60" borderId="28" xfId="7" applyNumberFormat="1" applyFont="1" applyFill="1" applyBorder="1" applyAlignment="1">
      <alignment horizontal="center" vertical="center" wrapText="1"/>
    </xf>
    <xf numFmtId="3" fontId="17" fillId="60" borderId="23" xfId="7" applyNumberFormat="1" applyFont="1" applyFill="1" applyBorder="1" applyAlignment="1">
      <alignment horizontal="center" vertical="center" wrapText="1"/>
    </xf>
    <xf numFmtId="3" fontId="17" fillId="60" borderId="65" xfId="7" applyNumberFormat="1" applyFont="1" applyFill="1" applyBorder="1" applyAlignment="1">
      <alignment horizontal="center" vertical="center" wrapText="1"/>
    </xf>
    <xf numFmtId="3" fontId="17" fillId="60" borderId="2" xfId="7" applyNumberFormat="1" applyFont="1" applyFill="1" applyBorder="1" applyAlignment="1">
      <alignment horizontal="center" vertical="center" wrapText="1"/>
    </xf>
    <xf numFmtId="3" fontId="17" fillId="60" borderId="68" xfId="7" applyNumberFormat="1" applyFont="1" applyFill="1" applyBorder="1" applyAlignment="1">
      <alignment horizontal="center" vertical="center" wrapText="1"/>
    </xf>
    <xf numFmtId="3" fontId="17" fillId="60" borderId="52" xfId="7" applyNumberFormat="1" applyFont="1" applyFill="1" applyBorder="1" applyAlignment="1">
      <alignment horizontal="center" vertical="center" wrapText="1"/>
    </xf>
    <xf numFmtId="3" fontId="17" fillId="60" borderId="37" xfId="7" applyNumberFormat="1" applyFont="1" applyFill="1" applyBorder="1" applyAlignment="1">
      <alignment horizontal="center" vertical="center" wrapText="1"/>
    </xf>
    <xf numFmtId="3" fontId="17" fillId="60" borderId="38" xfId="7" applyNumberFormat="1" applyFont="1" applyFill="1" applyBorder="1" applyAlignment="1">
      <alignment horizontal="center" vertical="center" wrapText="1"/>
    </xf>
    <xf numFmtId="3" fontId="17" fillId="60" borderId="40" xfId="7" applyNumberFormat="1" applyFont="1" applyFill="1" applyBorder="1" applyAlignment="1">
      <alignment horizontal="center" vertical="center" wrapText="1"/>
    </xf>
    <xf numFmtId="3" fontId="17" fillId="60" borderId="41" xfId="7" applyNumberFormat="1" applyFont="1" applyFill="1" applyBorder="1" applyAlignment="1">
      <alignment horizontal="center" vertical="center" wrapText="1"/>
    </xf>
    <xf numFmtId="3" fontId="19" fillId="60" borderId="26" xfId="7" applyNumberFormat="1" applyFont="1" applyFill="1" applyBorder="1" applyAlignment="1">
      <alignment horizontal="center" vertical="center" wrapText="1"/>
    </xf>
    <xf numFmtId="3" fontId="19" fillId="60" borderId="18" xfId="7" applyNumberFormat="1" applyFont="1" applyFill="1" applyBorder="1" applyAlignment="1">
      <alignment horizontal="center" vertical="center" wrapText="1"/>
    </xf>
    <xf numFmtId="3" fontId="19" fillId="60" borderId="19" xfId="7" applyNumberFormat="1" applyFont="1" applyFill="1" applyBorder="1" applyAlignment="1">
      <alignment horizontal="center" vertical="center" wrapText="1"/>
    </xf>
    <xf numFmtId="3" fontId="17" fillId="60" borderId="64" xfId="7" applyNumberFormat="1" applyFont="1" applyFill="1" applyBorder="1" applyAlignment="1">
      <alignment horizontal="center" vertical="center" wrapText="1"/>
    </xf>
    <xf numFmtId="3" fontId="17" fillId="60" borderId="71" xfId="7" applyNumberFormat="1" applyFont="1" applyFill="1" applyBorder="1" applyAlignment="1">
      <alignment horizontal="center" vertical="center" wrapText="1"/>
    </xf>
    <xf numFmtId="3" fontId="17" fillId="60" borderId="22" xfId="7" applyNumberFormat="1" applyFont="1" applyFill="1" applyBorder="1" applyAlignment="1">
      <alignment horizontal="center" vertical="center" wrapText="1"/>
    </xf>
    <xf numFmtId="3" fontId="17" fillId="60" borderId="67" xfId="7" applyNumberFormat="1" applyFont="1" applyFill="1" applyBorder="1" applyAlignment="1">
      <alignment horizontal="center" vertical="center" wrapText="1"/>
    </xf>
    <xf numFmtId="3" fontId="17" fillId="60" borderId="24" xfId="7" applyNumberFormat="1" applyFont="1" applyFill="1" applyBorder="1" applyAlignment="1">
      <alignment horizontal="center" vertical="center" wrapText="1"/>
    </xf>
    <xf numFmtId="3" fontId="17" fillId="60" borderId="25" xfId="7" applyNumberFormat="1" applyFont="1" applyFill="1" applyBorder="1" applyAlignment="1">
      <alignment horizontal="center" vertical="center" wrapText="1"/>
    </xf>
    <xf numFmtId="3" fontId="13" fillId="60" borderId="30" xfId="0" applyNumberFormat="1" applyFont="1" applyFill="1" applyBorder="1" applyAlignment="1">
      <alignment horizontal="center" vertical="center" wrapText="1"/>
    </xf>
    <xf numFmtId="3" fontId="13" fillId="60" borderId="81" xfId="0" applyNumberFormat="1" applyFont="1" applyFill="1" applyBorder="1" applyAlignment="1">
      <alignment horizontal="center" vertical="center" wrapText="1"/>
    </xf>
    <xf numFmtId="3" fontId="17" fillId="60" borderId="39" xfId="7" applyNumberFormat="1" applyFont="1" applyFill="1" applyBorder="1" applyAlignment="1">
      <alignment horizontal="center" vertical="center" wrapText="1"/>
    </xf>
    <xf numFmtId="3" fontId="17" fillId="60" borderId="42" xfId="7" applyNumberFormat="1" applyFont="1" applyFill="1" applyBorder="1" applyAlignment="1">
      <alignment horizontal="center" vertical="center" wrapText="1"/>
    </xf>
    <xf numFmtId="3" fontId="17" fillId="60" borderId="26" xfId="7" applyNumberFormat="1" applyFont="1" applyFill="1" applyBorder="1" applyAlignment="1">
      <alignment horizontal="center" vertical="center" wrapText="1"/>
    </xf>
    <xf numFmtId="3" fontId="17" fillId="60" borderId="18" xfId="7" applyNumberFormat="1" applyFont="1" applyFill="1" applyBorder="1" applyAlignment="1">
      <alignment horizontal="center" vertical="center" wrapText="1"/>
    </xf>
    <xf numFmtId="3" fontId="17" fillId="60" borderId="19" xfId="7" applyNumberFormat="1" applyFont="1" applyFill="1" applyBorder="1" applyAlignment="1">
      <alignment horizontal="center" vertical="center" wrapText="1"/>
    </xf>
  </cellXfs>
  <cellStyles count="111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" xfId="0" builtinId="0"/>
    <cellStyle name="Normal 2" xfId="5"/>
    <cellStyle name="Normal 2 2" xfId="51"/>
    <cellStyle name="Normal 3" xfId="58"/>
    <cellStyle name="Normal 3 3" xfId="10"/>
    <cellStyle name="Normal 6" xfId="7"/>
    <cellStyle name="Normal 6 2" xfId="20"/>
    <cellStyle name="Normal 6 3" xfId="11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B8CCE4"/>
      <color rgb="FFFFFFCC"/>
      <color rgb="FFCCCCFF"/>
      <color rgb="FF99CCFF"/>
      <color rgb="FFFFFF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workbookViewId="0">
      <selection activeCell="C17" sqref="C17:C18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17.42578125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15.75" customHeight="1">
      <c r="A1" s="515" t="s">
        <v>691</v>
      </c>
      <c r="B1" s="515"/>
      <c r="C1" s="515"/>
    </row>
    <row r="2" spans="1:27" ht="15">
      <c r="A2" s="17"/>
      <c r="B2" s="17"/>
      <c r="C2" s="16"/>
      <c r="D2" s="16"/>
      <c r="E2" s="16"/>
      <c r="F2" s="16"/>
      <c r="G2" s="16"/>
      <c r="H2" s="16"/>
      <c r="I2" s="16"/>
      <c r="J2" s="18">
        <v>2</v>
      </c>
      <c r="K2" s="18" t="str">
        <f t="shared" ref="K2:K65" si="0">L2&amp;" "&amp;M2</f>
        <v>2284 SVEUČILIŠTE J.J STROSSMAYERA U OSIJEKU - EKONOMSKI FAKULTET</v>
      </c>
      <c r="L2" s="19">
        <v>2284</v>
      </c>
      <c r="M2" s="20" t="s">
        <v>222</v>
      </c>
      <c r="N2" s="20" t="s">
        <v>220</v>
      </c>
      <c r="O2" s="20" t="s">
        <v>223</v>
      </c>
      <c r="P2" s="20" t="s">
        <v>221</v>
      </c>
      <c r="Q2" s="21">
        <v>3021645</v>
      </c>
      <c r="R2" s="22" t="s">
        <v>224</v>
      </c>
      <c r="S2" s="22" t="s">
        <v>19</v>
      </c>
      <c r="T2" s="23" t="s">
        <v>18</v>
      </c>
      <c r="U2" s="16"/>
      <c r="V2" s="16"/>
      <c r="W2" s="16"/>
      <c r="X2" s="16"/>
      <c r="Y2" s="16"/>
      <c r="Z2" s="16"/>
      <c r="AA2" s="16"/>
    </row>
    <row r="3" spans="1:27" ht="28.5" customHeight="1">
      <c r="B3" s="518" t="s">
        <v>743</v>
      </c>
      <c r="C3" s="517"/>
      <c r="D3" s="517"/>
      <c r="E3" s="517"/>
      <c r="F3" s="16"/>
      <c r="G3" s="16"/>
      <c r="H3" s="16"/>
      <c r="I3" s="16"/>
      <c r="J3" s="18">
        <v>3</v>
      </c>
      <c r="K3" s="18" t="str">
        <f t="shared" si="0"/>
        <v xml:space="preserve">2313 SVEUČILIŠTE J.J.STROSSMAYERA U OSIJEKU - ELEKTROTEHNIČKI FAKULTET </v>
      </c>
      <c r="L3" s="19">
        <v>2313</v>
      </c>
      <c r="M3" s="20" t="s">
        <v>225</v>
      </c>
      <c r="N3" s="20" t="s">
        <v>220</v>
      </c>
      <c r="O3" s="20" t="s">
        <v>226</v>
      </c>
      <c r="P3" s="20" t="s">
        <v>221</v>
      </c>
      <c r="Q3" s="21">
        <v>3392589</v>
      </c>
      <c r="R3" s="22" t="s">
        <v>227</v>
      </c>
      <c r="S3" s="22" t="s">
        <v>19</v>
      </c>
      <c r="T3" s="23" t="s">
        <v>18</v>
      </c>
      <c r="U3" s="16"/>
      <c r="V3" s="16"/>
      <c r="W3" s="16"/>
      <c r="X3" s="16"/>
      <c r="Y3" s="16"/>
      <c r="Z3" s="16"/>
      <c r="AA3" s="16"/>
    </row>
    <row r="4" spans="1:27" ht="18.75" customHeight="1">
      <c r="B4" s="518" t="s">
        <v>0</v>
      </c>
      <c r="C4" s="517"/>
      <c r="D4" s="517"/>
      <c r="E4" s="517"/>
      <c r="F4" s="16"/>
      <c r="G4" s="16"/>
      <c r="H4" s="16"/>
      <c r="I4" s="16"/>
      <c r="J4" s="18">
        <v>4</v>
      </c>
      <c r="K4" s="18" t="str">
        <f t="shared" si="0"/>
        <v>2321 SVEUČILIŠTE J.J STROSSMAYERA U OSIJEKU - FILOZOFSKI FAKULTET</v>
      </c>
      <c r="L4" s="19">
        <v>2321</v>
      </c>
      <c r="M4" s="20" t="s">
        <v>228</v>
      </c>
      <c r="N4" s="20" t="s">
        <v>220</v>
      </c>
      <c r="O4" s="20" t="s">
        <v>229</v>
      </c>
      <c r="P4" s="20" t="s">
        <v>221</v>
      </c>
      <c r="Q4" s="21">
        <v>3014185</v>
      </c>
      <c r="R4" s="22" t="s">
        <v>230</v>
      </c>
      <c r="S4" s="22" t="s">
        <v>19</v>
      </c>
      <c r="T4" s="23" t="s">
        <v>18</v>
      </c>
      <c r="U4" s="16"/>
      <c r="V4" s="16"/>
      <c r="W4" s="16"/>
      <c r="X4" s="16"/>
      <c r="Y4" s="16"/>
      <c r="Z4" s="16"/>
      <c r="AA4" s="16"/>
    </row>
    <row r="5" spans="1:27" ht="12" customHeight="1">
      <c r="B5" s="516"/>
      <c r="C5" s="517"/>
      <c r="D5" s="517"/>
      <c r="E5" s="517"/>
      <c r="F5" s="16"/>
      <c r="G5" s="16"/>
      <c r="H5" s="16"/>
      <c r="I5" s="16"/>
      <c r="J5" s="18">
        <v>5</v>
      </c>
      <c r="K5" s="18" t="str">
        <f t="shared" si="0"/>
        <v>2508 SVEUČILIŠTE J.J.STROSSMAYERA U OSIJEKU - GRADSKA I SVEUČILIŠNA KNJIŽNICA</v>
      </c>
      <c r="L5" s="19">
        <v>2508</v>
      </c>
      <c r="M5" s="24" t="s">
        <v>231</v>
      </c>
      <c r="N5" s="20" t="s">
        <v>220</v>
      </c>
      <c r="O5" s="24" t="s">
        <v>232</v>
      </c>
      <c r="P5" s="24" t="s">
        <v>221</v>
      </c>
      <c r="Q5" s="25">
        <v>3014347</v>
      </c>
      <c r="R5" s="22" t="s">
        <v>233</v>
      </c>
      <c r="S5" s="22" t="s">
        <v>19</v>
      </c>
      <c r="T5" s="23" t="s">
        <v>18</v>
      </c>
      <c r="U5" s="16"/>
      <c r="V5" s="16"/>
      <c r="W5" s="16"/>
      <c r="X5" s="16"/>
      <c r="Y5" s="16"/>
      <c r="Z5" s="16"/>
      <c r="AA5" s="16"/>
    </row>
    <row r="6" spans="1:27" ht="12" customHeight="1">
      <c r="A6" s="26"/>
      <c r="B6" s="26"/>
      <c r="C6" s="16"/>
      <c r="D6" s="16"/>
      <c r="E6" s="16"/>
      <c r="F6" s="16"/>
      <c r="G6" s="16"/>
      <c r="H6" s="16"/>
      <c r="I6" s="16"/>
      <c r="J6" s="18">
        <v>6</v>
      </c>
      <c r="K6" s="18" t="str">
        <f t="shared" si="0"/>
        <v>2250 SVEUČILIŠTE J.J STROSSMAYERA U OSIJEKU - GRAĐEVINSKI FAKULTET</v>
      </c>
      <c r="L6" s="19">
        <v>2250</v>
      </c>
      <c r="M6" s="20" t="s">
        <v>234</v>
      </c>
      <c r="N6" s="20" t="s">
        <v>220</v>
      </c>
      <c r="O6" s="20" t="s">
        <v>235</v>
      </c>
      <c r="P6" s="20" t="s">
        <v>221</v>
      </c>
      <c r="Q6" s="21">
        <v>3397335</v>
      </c>
      <c r="R6" s="22" t="s">
        <v>236</v>
      </c>
      <c r="S6" s="22" t="s">
        <v>19</v>
      </c>
      <c r="T6" s="23" t="s">
        <v>18</v>
      </c>
      <c r="U6" s="16"/>
      <c r="V6" s="16"/>
      <c r="W6" s="16"/>
      <c r="X6" s="16"/>
      <c r="Y6" s="16"/>
      <c r="Z6" s="16"/>
      <c r="AA6" s="16"/>
    </row>
    <row r="7" spans="1:27" ht="60" customHeight="1">
      <c r="A7" s="27"/>
      <c r="B7" s="27"/>
      <c r="C7" s="27" t="s">
        <v>744</v>
      </c>
      <c r="D7" s="27" t="s">
        <v>745</v>
      </c>
      <c r="E7" s="27" t="s">
        <v>746</v>
      </c>
      <c r="F7" s="16"/>
      <c r="G7" s="16"/>
      <c r="H7" s="16"/>
      <c r="I7" s="16"/>
      <c r="J7" s="18">
        <v>7</v>
      </c>
      <c r="K7" s="18" t="str">
        <f t="shared" si="0"/>
        <v>22849 SVEUČILIŠTE J.J STROSSMAYERA U OSIJEKU - MEDICINSKI FAKULTET</v>
      </c>
      <c r="L7" s="19">
        <v>22849</v>
      </c>
      <c r="M7" s="20" t="s">
        <v>237</v>
      </c>
      <c r="N7" s="20" t="s">
        <v>220</v>
      </c>
      <c r="O7" s="20" t="s">
        <v>238</v>
      </c>
      <c r="P7" s="20" t="s">
        <v>221</v>
      </c>
      <c r="Q7" s="21">
        <v>1388142</v>
      </c>
      <c r="R7" s="22" t="s">
        <v>239</v>
      </c>
      <c r="S7" s="22" t="s">
        <v>19</v>
      </c>
      <c r="T7" s="23" t="s">
        <v>18</v>
      </c>
      <c r="U7" s="16"/>
      <c r="V7" s="16"/>
      <c r="W7" s="16"/>
      <c r="X7" s="16"/>
      <c r="Y7" s="16"/>
      <c r="Z7" s="16"/>
      <c r="AA7" s="16"/>
    </row>
    <row r="8" spans="1:27" ht="19.5" customHeight="1">
      <c r="A8" s="28"/>
      <c r="B8" s="28" t="s">
        <v>1</v>
      </c>
      <c r="C8" s="29">
        <f>SUM(C9:C10)</f>
        <v>31202148</v>
      </c>
      <c r="D8" s="29">
        <f>+D9+D10</f>
        <v>25657217.470000003</v>
      </c>
      <c r="E8" s="29">
        <f>+E9+E10</f>
        <v>29705800</v>
      </c>
      <c r="F8" s="16"/>
      <c r="G8" s="16"/>
      <c r="H8" s="16"/>
      <c r="I8" s="16"/>
      <c r="J8" s="18">
        <v>8</v>
      </c>
      <c r="K8" s="18" t="str">
        <f t="shared" si="0"/>
        <v>2268 SVEUČILIŠTE J.J STROSSMAYERA U OSIJEKU - POLJOPRIVREDNI FAKULTET</v>
      </c>
      <c r="L8" s="19">
        <v>2268</v>
      </c>
      <c r="M8" s="20" t="s">
        <v>240</v>
      </c>
      <c r="N8" s="20" t="s">
        <v>220</v>
      </c>
      <c r="O8" s="20" t="s">
        <v>241</v>
      </c>
      <c r="P8" s="20" t="s">
        <v>221</v>
      </c>
      <c r="Q8" s="21">
        <v>3058212</v>
      </c>
      <c r="R8" s="22" t="s">
        <v>242</v>
      </c>
      <c r="S8" s="22" t="s">
        <v>19</v>
      </c>
      <c r="T8" s="23" t="s">
        <v>18</v>
      </c>
      <c r="U8" s="16"/>
      <c r="V8" s="16"/>
      <c r="W8" s="16"/>
      <c r="X8" s="16"/>
      <c r="Y8" s="16"/>
      <c r="Z8" s="16"/>
      <c r="AA8" s="16"/>
    </row>
    <row r="9" spans="1:27" ht="19.5" customHeight="1">
      <c r="A9" s="30">
        <v>6</v>
      </c>
      <c r="B9" s="28" t="s">
        <v>2</v>
      </c>
      <c r="C9" s="31">
        <f>+'prihodi i primici'!Q26</f>
        <v>31199148</v>
      </c>
      <c r="D9" s="31">
        <f>'prihodi i primici'!S26</f>
        <v>25653998.760000002</v>
      </c>
      <c r="E9" s="31">
        <f>'prihodi i primici'!C26</f>
        <v>29702800</v>
      </c>
      <c r="F9" s="16"/>
      <c r="G9" s="16"/>
      <c r="H9" s="16"/>
      <c r="I9" s="16"/>
      <c r="J9" s="18">
        <v>9</v>
      </c>
      <c r="K9" s="18" t="str">
        <f t="shared" si="0"/>
        <v>2292 SVEUČILIŠTE J.J STROSSMAYERA U OSIJEKU - PRAVNI FAKULTET</v>
      </c>
      <c r="L9" s="19">
        <v>2292</v>
      </c>
      <c r="M9" s="20" t="s">
        <v>243</v>
      </c>
      <c r="N9" s="20" t="s">
        <v>220</v>
      </c>
      <c r="O9" s="20" t="s">
        <v>244</v>
      </c>
      <c r="P9" s="20" t="s">
        <v>245</v>
      </c>
      <c r="Q9" s="21">
        <v>3014193</v>
      </c>
      <c r="R9" s="22" t="s">
        <v>246</v>
      </c>
      <c r="S9" s="22" t="s">
        <v>19</v>
      </c>
      <c r="T9" s="23" t="s">
        <v>18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30">
        <v>7</v>
      </c>
      <c r="B10" s="32" t="s">
        <v>3</v>
      </c>
      <c r="C10" s="31">
        <f>+'prihodi i primici'!Q33</f>
        <v>3000</v>
      </c>
      <c r="D10" s="31">
        <f>'prihodi i primici'!S33</f>
        <v>3218.71</v>
      </c>
      <c r="E10" s="31">
        <f>'prihodi i primici'!C33</f>
        <v>3000</v>
      </c>
      <c r="F10" s="33"/>
      <c r="G10" s="16"/>
      <c r="H10" s="16"/>
      <c r="I10" s="16"/>
      <c r="J10" s="18">
        <v>10</v>
      </c>
      <c r="K10" s="18" t="str">
        <f t="shared" si="0"/>
        <v>2276 SVEUČILIŠTE J.J STROSSMAYERA U OSIJEKU - PREHRAMBENO TEHNOLOŠKI FAKULTET</v>
      </c>
      <c r="L10" s="19">
        <v>2276</v>
      </c>
      <c r="M10" s="20" t="s">
        <v>247</v>
      </c>
      <c r="N10" s="20" t="s">
        <v>220</v>
      </c>
      <c r="O10" s="20" t="s">
        <v>248</v>
      </c>
      <c r="P10" s="20" t="s">
        <v>221</v>
      </c>
      <c r="Q10" s="21">
        <v>3058204</v>
      </c>
      <c r="R10" s="22" t="s">
        <v>249</v>
      </c>
      <c r="S10" s="22" t="s">
        <v>19</v>
      </c>
      <c r="T10" s="23" t="s">
        <v>18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34"/>
      <c r="B11" s="32" t="s">
        <v>4</v>
      </c>
      <c r="C11" s="35">
        <f>SUM(C12:C13)</f>
        <v>35356229</v>
      </c>
      <c r="D11" s="35">
        <f>+D12+D13</f>
        <v>23653306.669999998</v>
      </c>
      <c r="E11" s="35">
        <f>+E12+E13</f>
        <v>30083000</v>
      </c>
      <c r="F11" s="16"/>
      <c r="G11" s="16"/>
      <c r="H11" s="16"/>
      <c r="I11" s="16"/>
      <c r="J11" s="18">
        <v>11</v>
      </c>
      <c r="K11" s="18" t="str">
        <f t="shared" si="0"/>
        <v>2305 SVEUČILIŠTE J.J STROSSMAYERA U OSIJEKU - STROJARSKI FAKULTET U SLAVONSKOME BRODU</v>
      </c>
      <c r="L11" s="19">
        <v>2305</v>
      </c>
      <c r="M11" s="20" t="s">
        <v>250</v>
      </c>
      <c r="N11" s="20" t="s">
        <v>220</v>
      </c>
      <c r="O11" s="20" t="s">
        <v>251</v>
      </c>
      <c r="P11" s="20" t="s">
        <v>252</v>
      </c>
      <c r="Q11" s="21">
        <v>3458091</v>
      </c>
      <c r="R11" s="22" t="s">
        <v>253</v>
      </c>
      <c r="S11" s="22" t="s">
        <v>19</v>
      </c>
      <c r="T11" s="23" t="s">
        <v>18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34">
        <v>3</v>
      </c>
      <c r="B12" s="28" t="s">
        <v>5</v>
      </c>
      <c r="C12" s="36">
        <f>+'rashodi i izdaci'!P4</f>
        <v>28993229</v>
      </c>
      <c r="D12" s="37">
        <f>'rashodi i izdaci'!R4</f>
        <v>23505419.819999997</v>
      </c>
      <c r="E12" s="37">
        <f>'rashodi i izdaci'!C4</f>
        <v>29529000</v>
      </c>
      <c r="F12" s="16"/>
      <c r="G12" s="16"/>
      <c r="H12" s="16"/>
      <c r="I12" s="16"/>
      <c r="J12" s="18">
        <v>12</v>
      </c>
      <c r="K12" s="18" t="str">
        <f t="shared" si="0"/>
        <v>22486 SVEUČILIŠTE J.J STROSSMAYERA U OSIJEKU - FAKULTET ZA ODGOJNE I OBRAZOVNE ZNANOSTI</v>
      </c>
      <c r="L12" s="19">
        <v>22486</v>
      </c>
      <c r="M12" s="20" t="s">
        <v>254</v>
      </c>
      <c r="N12" s="20" t="s">
        <v>220</v>
      </c>
      <c r="O12" s="20" t="s">
        <v>255</v>
      </c>
      <c r="P12" s="20" t="s">
        <v>221</v>
      </c>
      <c r="Q12" s="21">
        <v>1404881</v>
      </c>
      <c r="R12" s="22" t="s">
        <v>256</v>
      </c>
      <c r="S12" s="22" t="s">
        <v>19</v>
      </c>
      <c r="T12" s="23" t="s">
        <v>18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30">
        <v>4</v>
      </c>
      <c r="B13" s="32" t="s">
        <v>6</v>
      </c>
      <c r="C13" s="36">
        <f>+'rashodi i izdaci'!P38</f>
        <v>6363000</v>
      </c>
      <c r="D13" s="37">
        <f>'rashodi i izdaci'!R38</f>
        <v>147886.85</v>
      </c>
      <c r="E13" s="37">
        <f>'rashodi i izdaci'!C38</f>
        <v>554000</v>
      </c>
      <c r="F13" s="16"/>
      <c r="G13" s="16"/>
      <c r="H13" s="16"/>
      <c r="I13" s="16"/>
      <c r="J13" s="18">
        <v>13</v>
      </c>
      <c r="K13" s="18" t="str">
        <f t="shared" si="0"/>
        <v>38479 SVEUČILIŠTE J.J.STROSSMAYERA U OSIJEKU - KATOLIČKI BOGOSLOVNI FAKULTET U ĐAKOVU</v>
      </c>
      <c r="L13" s="19">
        <v>38479</v>
      </c>
      <c r="M13" s="20" t="s">
        <v>257</v>
      </c>
      <c r="N13" s="20" t="s">
        <v>220</v>
      </c>
      <c r="O13" s="20" t="s">
        <v>258</v>
      </c>
      <c r="P13" s="20" t="s">
        <v>259</v>
      </c>
      <c r="Q13" s="21">
        <v>1986490</v>
      </c>
      <c r="R13" s="22" t="s">
        <v>260</v>
      </c>
      <c r="S13" s="22" t="s">
        <v>19</v>
      </c>
      <c r="T13" s="23" t="s">
        <v>18</v>
      </c>
      <c r="U13" s="16"/>
      <c r="V13" s="16"/>
      <c r="W13" s="16"/>
      <c r="X13" s="16"/>
      <c r="Y13" s="16"/>
      <c r="Z13" s="16"/>
      <c r="AA13" s="16"/>
    </row>
    <row r="14" spans="1:27" ht="19.5" customHeight="1">
      <c r="A14" s="28"/>
      <c r="B14" s="28" t="s">
        <v>7</v>
      </c>
      <c r="C14" s="29">
        <f>+C8-C11</f>
        <v>-4154081</v>
      </c>
      <c r="D14" s="29">
        <f>+D8-D11</f>
        <v>2003910.8000000045</v>
      </c>
      <c r="E14" s="29">
        <f>+E8-E11</f>
        <v>-377200</v>
      </c>
      <c r="F14" s="16"/>
      <c r="G14" s="16"/>
      <c r="H14" s="16"/>
      <c r="I14" s="16"/>
      <c r="J14" s="18">
        <v>14</v>
      </c>
      <c r="K14" s="18" t="str">
        <f t="shared" si="0"/>
        <v>49796 SVEUČILIŠTE J.J.STROSSMAYERA U OSIJEKU - FAKULTET ZA DENTALNU MEDICINU I ZDRAVSTVO</v>
      </c>
      <c r="L14" s="19">
        <v>49796</v>
      </c>
      <c r="M14" s="20" t="s">
        <v>261</v>
      </c>
      <c r="N14" s="20" t="s">
        <v>220</v>
      </c>
      <c r="O14" s="20" t="s">
        <v>262</v>
      </c>
      <c r="P14" s="20" t="s">
        <v>221</v>
      </c>
      <c r="Q14" s="21">
        <v>4748875</v>
      </c>
      <c r="R14" s="22" t="s">
        <v>263</v>
      </c>
      <c r="S14" s="22" t="s">
        <v>19</v>
      </c>
      <c r="T14" s="23" t="s">
        <v>18</v>
      </c>
      <c r="U14" s="16"/>
      <c r="V14" s="16"/>
      <c r="W14" s="16"/>
      <c r="X14" s="16"/>
      <c r="Y14" s="16"/>
      <c r="Z14" s="16"/>
      <c r="AA14" s="16"/>
    </row>
    <row r="15" spans="1:27" ht="19.5" customHeight="1">
      <c r="B15" s="516"/>
      <c r="C15" s="517"/>
      <c r="D15" s="517"/>
      <c r="E15" s="517"/>
      <c r="F15" s="16"/>
      <c r="G15" s="16"/>
      <c r="H15" s="16"/>
      <c r="I15" s="16"/>
      <c r="J15" s="18">
        <v>15</v>
      </c>
      <c r="K15" s="18" t="str">
        <f t="shared" si="0"/>
        <v>50215 SVEUČILIŠTE J.J.STROSSMAYERA U OSIJEKU - AKADEMIJA ZA UMJETNOST I KULTURU U OSIJEKU</v>
      </c>
      <c r="L15" s="19">
        <v>50215</v>
      </c>
      <c r="M15" s="20" t="s">
        <v>264</v>
      </c>
      <c r="N15" s="20" t="s">
        <v>220</v>
      </c>
      <c r="O15" s="20" t="s">
        <v>265</v>
      </c>
      <c r="P15" s="20" t="s">
        <v>221</v>
      </c>
      <c r="Q15" s="21">
        <v>4907361</v>
      </c>
      <c r="R15" s="22">
        <v>60277424315</v>
      </c>
      <c r="S15" s="22" t="s">
        <v>19</v>
      </c>
      <c r="T15" s="23" t="s">
        <v>18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27"/>
      <c r="B16" s="27"/>
      <c r="C16" s="27" t="s">
        <v>744</v>
      </c>
      <c r="D16" s="27" t="s">
        <v>745</v>
      </c>
      <c r="E16" s="27" t="s">
        <v>746</v>
      </c>
      <c r="F16" s="16"/>
      <c r="G16" s="33"/>
      <c r="H16" s="16"/>
      <c r="I16" s="16"/>
      <c r="J16" s="18">
        <v>1</v>
      </c>
      <c r="K16" s="18" t="str">
        <f t="shared" si="0"/>
        <v>42024 SVEUČILIŠTE JURJA DOBRILE U PULI</v>
      </c>
      <c r="L16" s="19">
        <v>42024</v>
      </c>
      <c r="M16" s="20" t="s">
        <v>266</v>
      </c>
      <c r="N16" s="20" t="s">
        <v>266</v>
      </c>
      <c r="O16" s="20" t="s">
        <v>267</v>
      </c>
      <c r="P16" s="20" t="s">
        <v>268</v>
      </c>
      <c r="Q16" s="21">
        <v>2161753</v>
      </c>
      <c r="R16" s="22" t="s">
        <v>269</v>
      </c>
      <c r="S16" s="22" t="s">
        <v>19</v>
      </c>
      <c r="T16" s="23" t="s">
        <v>18</v>
      </c>
      <c r="U16" s="16"/>
      <c r="V16" s="16"/>
      <c r="W16" s="16"/>
      <c r="X16" s="16"/>
      <c r="Y16" s="16"/>
      <c r="Z16" s="16"/>
      <c r="AA16" s="16"/>
    </row>
    <row r="17" spans="1:27" ht="30">
      <c r="A17" s="38" t="s">
        <v>8</v>
      </c>
      <c r="B17" s="38" t="s">
        <v>9</v>
      </c>
      <c r="C17" s="36">
        <f>+'prihodi i primici'!Q5</f>
        <v>17684200</v>
      </c>
      <c r="D17" s="36">
        <f>'prihodi i primici'!S5</f>
        <v>0</v>
      </c>
      <c r="E17" s="36">
        <f>'prihodi i primici'!C5</f>
        <v>18441600</v>
      </c>
      <c r="F17" s="16"/>
      <c r="G17" s="39"/>
      <c r="H17" s="16"/>
      <c r="I17" s="16"/>
      <c r="J17" s="18">
        <v>2</v>
      </c>
      <c r="K17" s="18" t="str">
        <f t="shared" si="0"/>
        <v>48267 SVEUČILIŠTE SJEVER</v>
      </c>
      <c r="L17" s="19">
        <v>48267</v>
      </c>
      <c r="M17" s="20" t="s">
        <v>270</v>
      </c>
      <c r="N17" s="20" t="s">
        <v>270</v>
      </c>
      <c r="O17" s="20" t="s">
        <v>271</v>
      </c>
      <c r="P17" s="20" t="s">
        <v>272</v>
      </c>
      <c r="Q17" s="21">
        <v>2752298</v>
      </c>
      <c r="R17" s="22" t="s">
        <v>273</v>
      </c>
      <c r="S17" s="22" t="s">
        <v>19</v>
      </c>
      <c r="T17" s="23" t="s">
        <v>18</v>
      </c>
      <c r="U17" s="16"/>
      <c r="V17" s="16"/>
      <c r="W17" s="16"/>
      <c r="X17" s="16"/>
      <c r="Y17" s="16"/>
      <c r="Z17" s="16"/>
      <c r="AA17" s="16"/>
    </row>
    <row r="18" spans="1:27" ht="30">
      <c r="A18" s="38" t="s">
        <v>10</v>
      </c>
      <c r="B18" s="38" t="s">
        <v>11</v>
      </c>
      <c r="C18" s="40">
        <f>+'prihodi i primici'!Q7</f>
        <v>-13530119</v>
      </c>
      <c r="D18" s="40">
        <f>'prihodi i primici'!S7</f>
        <v>0</v>
      </c>
      <c r="E18" s="41">
        <f>'prihodi i primici'!C7</f>
        <v>-18064400</v>
      </c>
      <c r="F18" s="16"/>
      <c r="G18" s="39"/>
      <c r="H18" s="16"/>
      <c r="I18" s="16"/>
      <c r="J18" s="18">
        <v>3</v>
      </c>
      <c r="K18" s="18" t="str">
        <f t="shared" si="0"/>
        <v>24141 SVEUČILIŠTE U DUBROVNIKU</v>
      </c>
      <c r="L18" s="19">
        <v>24141</v>
      </c>
      <c r="M18" s="20" t="s">
        <v>274</v>
      </c>
      <c r="N18" s="20" t="s">
        <v>274</v>
      </c>
      <c r="O18" s="20" t="s">
        <v>275</v>
      </c>
      <c r="P18" s="20" t="s">
        <v>276</v>
      </c>
      <c r="Q18" s="21">
        <v>1787578</v>
      </c>
      <c r="R18" s="22" t="s">
        <v>277</v>
      </c>
      <c r="S18" s="22" t="s">
        <v>19</v>
      </c>
      <c r="T18" s="23" t="s">
        <v>18</v>
      </c>
      <c r="U18" s="16"/>
      <c r="V18" s="16"/>
      <c r="W18" s="16"/>
      <c r="X18" s="16"/>
      <c r="Y18" s="16"/>
      <c r="Z18" s="16"/>
      <c r="AA18" s="16"/>
    </row>
    <row r="19" spans="1:27" ht="19.5" customHeight="1">
      <c r="B19" s="516"/>
      <c r="C19" s="517"/>
      <c r="D19" s="517"/>
      <c r="E19" s="517"/>
      <c r="F19" s="16"/>
      <c r="G19" s="16"/>
      <c r="H19" s="16"/>
      <c r="I19" s="16"/>
      <c r="J19" s="18">
        <v>4</v>
      </c>
      <c r="K19" s="18" t="str">
        <f t="shared" si="0"/>
        <v>23815 SVEUČILIŠTE U ZADRU</v>
      </c>
      <c r="L19" s="19">
        <v>23815</v>
      </c>
      <c r="M19" s="20" t="s">
        <v>278</v>
      </c>
      <c r="N19" s="20" t="s">
        <v>278</v>
      </c>
      <c r="O19" s="20" t="s">
        <v>279</v>
      </c>
      <c r="P19" s="20" t="s">
        <v>280</v>
      </c>
      <c r="Q19" s="21">
        <v>1695525</v>
      </c>
      <c r="R19" s="22" t="s">
        <v>281</v>
      </c>
      <c r="S19" s="22" t="s">
        <v>19</v>
      </c>
      <c r="T19" s="23" t="s">
        <v>18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27"/>
      <c r="B20" s="27"/>
      <c r="C20" s="27" t="s">
        <v>744</v>
      </c>
      <c r="D20" s="27" t="s">
        <v>745</v>
      </c>
      <c r="E20" s="27" t="s">
        <v>746</v>
      </c>
      <c r="F20" s="16"/>
      <c r="G20" s="42"/>
      <c r="H20" s="16"/>
      <c r="I20" s="16"/>
      <c r="J20" s="18">
        <v>1</v>
      </c>
      <c r="K20" s="18" t="str">
        <f t="shared" si="0"/>
        <v>2444 SVEUČILIŠTE U RIJECI</v>
      </c>
      <c r="L20" s="19">
        <v>2444</v>
      </c>
      <c r="M20" s="20" t="s">
        <v>282</v>
      </c>
      <c r="N20" s="20" t="s">
        <v>282</v>
      </c>
      <c r="O20" s="20" t="s">
        <v>283</v>
      </c>
      <c r="P20" s="20" t="s">
        <v>284</v>
      </c>
      <c r="Q20" s="21">
        <v>3337413</v>
      </c>
      <c r="R20" s="22" t="s">
        <v>285</v>
      </c>
      <c r="S20" s="22" t="s">
        <v>19</v>
      </c>
      <c r="T20" s="23" t="s">
        <v>18</v>
      </c>
      <c r="U20" s="16"/>
      <c r="V20" s="16"/>
      <c r="W20" s="16"/>
      <c r="X20" s="16"/>
      <c r="Y20" s="16"/>
      <c r="Z20" s="16"/>
      <c r="AA20" s="16"/>
    </row>
    <row r="21" spans="1:27" ht="30">
      <c r="A21" s="30">
        <v>8</v>
      </c>
      <c r="B21" s="28" t="s">
        <v>12</v>
      </c>
      <c r="C21" s="31">
        <f>'prihodi i primici'!Q36</f>
        <v>0</v>
      </c>
      <c r="D21" s="31">
        <f>'prihodi i primici'!S36</f>
        <v>0</v>
      </c>
      <c r="E21" s="31">
        <f>'prihodi i primici'!C36</f>
        <v>0</v>
      </c>
      <c r="F21" s="16"/>
      <c r="G21" s="16"/>
      <c r="H21" s="16"/>
      <c r="I21" s="16"/>
      <c r="J21" s="18">
        <v>2</v>
      </c>
      <c r="K21" s="18" t="str">
        <f t="shared" si="0"/>
        <v>38454 SVEUČILIŠTE U RIJECI - AKADEMIJA PRIMJENJENIH UMJETNOSTI</v>
      </c>
      <c r="L21" s="19">
        <v>38454</v>
      </c>
      <c r="M21" s="20" t="s">
        <v>286</v>
      </c>
      <c r="N21" s="20" t="s">
        <v>282</v>
      </c>
      <c r="O21" s="20" t="s">
        <v>287</v>
      </c>
      <c r="P21" s="20" t="s">
        <v>284</v>
      </c>
      <c r="Q21" s="21">
        <v>1954253</v>
      </c>
      <c r="R21" s="22" t="s">
        <v>288</v>
      </c>
      <c r="S21" s="22" t="s">
        <v>19</v>
      </c>
      <c r="T21" s="23" t="s">
        <v>18</v>
      </c>
      <c r="U21" s="16"/>
      <c r="V21" s="16"/>
      <c r="W21" s="16"/>
      <c r="X21" s="16"/>
      <c r="Y21" s="16"/>
      <c r="Z21" s="16"/>
      <c r="AA21" s="16"/>
    </row>
    <row r="22" spans="1:27" ht="30">
      <c r="A22" s="30">
        <v>5</v>
      </c>
      <c r="B22" s="28" t="s">
        <v>13</v>
      </c>
      <c r="C22" s="31">
        <f>'rashodi i izdaci'!P58</f>
        <v>0</v>
      </c>
      <c r="D22" s="31">
        <f>'rashodi i izdaci'!R58</f>
        <v>0</v>
      </c>
      <c r="E22" s="31">
        <f>'rashodi i izdaci'!C58</f>
        <v>0</v>
      </c>
      <c r="F22" s="16"/>
      <c r="G22" s="16"/>
      <c r="H22" s="16"/>
      <c r="I22" s="16"/>
      <c r="J22" s="18">
        <v>3</v>
      </c>
      <c r="K22" s="18" t="str">
        <f t="shared" si="0"/>
        <v>2186 SVEUČILIŠTE U RIJECI - EKONOMSKI FAKULTET</v>
      </c>
      <c r="L22" s="19">
        <v>2186</v>
      </c>
      <c r="M22" s="20" t="s">
        <v>289</v>
      </c>
      <c r="N22" s="20" t="s">
        <v>282</v>
      </c>
      <c r="O22" s="20" t="s">
        <v>290</v>
      </c>
      <c r="P22" s="20" t="s">
        <v>284</v>
      </c>
      <c r="Q22" s="21">
        <v>3328627</v>
      </c>
      <c r="R22" s="22" t="s">
        <v>291</v>
      </c>
      <c r="S22" s="22" t="s">
        <v>19</v>
      </c>
      <c r="T22" s="23" t="s">
        <v>18</v>
      </c>
      <c r="U22" s="16"/>
      <c r="V22" s="16"/>
      <c r="W22" s="16"/>
      <c r="X22" s="16"/>
      <c r="Y22" s="16"/>
      <c r="Z22" s="16"/>
      <c r="AA22" s="16"/>
    </row>
    <row r="23" spans="1:27" ht="19.5" customHeight="1">
      <c r="A23" s="28"/>
      <c r="B23" s="28" t="s">
        <v>14</v>
      </c>
      <c r="C23" s="35">
        <f>+C21-C22</f>
        <v>0</v>
      </c>
      <c r="D23" s="35">
        <f>+D21-D22</f>
        <v>0</v>
      </c>
      <c r="E23" s="35">
        <f>+E21-E22</f>
        <v>0</v>
      </c>
      <c r="F23" s="16"/>
      <c r="G23" s="16"/>
      <c r="H23" s="16"/>
      <c r="I23" s="16"/>
      <c r="J23" s="18">
        <v>4</v>
      </c>
      <c r="K23" s="18" t="str">
        <f t="shared" si="0"/>
        <v>2194 SVEUČILIŠTE U RIJECI - FAKULTET ZA MENADŽMENT U TURIZMU I UGOSTITELJSTVU</v>
      </c>
      <c r="L23" s="19">
        <v>2194</v>
      </c>
      <c r="M23" s="20" t="s">
        <v>292</v>
      </c>
      <c r="N23" s="20" t="s">
        <v>282</v>
      </c>
      <c r="O23" s="20" t="s">
        <v>293</v>
      </c>
      <c r="P23" s="20" t="s">
        <v>294</v>
      </c>
      <c r="Q23" s="21">
        <v>3091732</v>
      </c>
      <c r="R23" s="22" t="s">
        <v>295</v>
      </c>
      <c r="S23" s="22" t="s">
        <v>19</v>
      </c>
      <c r="T23" s="23" t="s">
        <v>18</v>
      </c>
      <c r="U23" s="16"/>
      <c r="V23" s="16"/>
      <c r="W23" s="16"/>
      <c r="X23" s="16"/>
      <c r="Y23" s="16"/>
      <c r="Z23" s="16"/>
      <c r="AA23" s="16"/>
    </row>
    <row r="24" spans="1:27" ht="19.5" customHeight="1">
      <c r="B24" s="516"/>
      <c r="C24" s="517"/>
      <c r="D24" s="517"/>
      <c r="E24" s="517"/>
      <c r="F24" s="16"/>
      <c r="G24" s="16"/>
      <c r="H24" s="16"/>
      <c r="I24" s="16"/>
      <c r="J24" s="18">
        <v>5</v>
      </c>
      <c r="K24" s="18" t="str">
        <f t="shared" si="0"/>
        <v>22857 SVEUČILIŠTE U RIJECI - FILOZOFSKI FAKULTET</v>
      </c>
      <c r="L24" s="19">
        <v>22857</v>
      </c>
      <c r="M24" s="20" t="s">
        <v>296</v>
      </c>
      <c r="N24" s="20" t="s">
        <v>282</v>
      </c>
      <c r="O24" s="20" t="s">
        <v>297</v>
      </c>
      <c r="P24" s="20" t="s">
        <v>284</v>
      </c>
      <c r="Q24" s="21">
        <v>3368491</v>
      </c>
      <c r="R24" s="22" t="s">
        <v>298</v>
      </c>
      <c r="S24" s="22" t="s">
        <v>19</v>
      </c>
      <c r="T24" s="23" t="s">
        <v>18</v>
      </c>
      <c r="U24" s="16"/>
      <c r="V24" s="16"/>
      <c r="W24" s="16"/>
      <c r="X24" s="16"/>
      <c r="Y24" s="16"/>
      <c r="Z24" s="16"/>
      <c r="AA24" s="16"/>
    </row>
    <row r="25" spans="1:27" ht="30">
      <c r="A25" s="43"/>
      <c r="B25" s="43" t="s">
        <v>15</v>
      </c>
      <c r="C25" s="44">
        <f>+C14+C17+C18+C23</f>
        <v>0</v>
      </c>
      <c r="D25" s="44">
        <f>+D14+D17+D18+D23</f>
        <v>2003910.8000000045</v>
      </c>
      <c r="E25" s="44">
        <f>+E14+E17+E18+E23</f>
        <v>0</v>
      </c>
      <c r="F25" s="45"/>
      <c r="G25" s="16"/>
      <c r="H25" s="16"/>
      <c r="I25" s="16"/>
      <c r="J25" s="18">
        <v>6</v>
      </c>
      <c r="K25" s="18" t="str">
        <f t="shared" si="0"/>
        <v>2160 SVEUČILIŠTE U RIJECI - GRAĐEVINSKI FAKULTET U RIJECI</v>
      </c>
      <c r="L25" s="19">
        <v>2160</v>
      </c>
      <c r="M25" s="20" t="s">
        <v>299</v>
      </c>
      <c r="N25" s="20" t="s">
        <v>282</v>
      </c>
      <c r="O25" s="20" t="s">
        <v>300</v>
      </c>
      <c r="P25" s="20" t="s">
        <v>284</v>
      </c>
      <c r="Q25" s="21">
        <v>3395855</v>
      </c>
      <c r="R25" s="22" t="s">
        <v>301</v>
      </c>
      <c r="S25" s="22" t="s">
        <v>19</v>
      </c>
      <c r="T25" s="23" t="s">
        <v>18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6"/>
      <c r="B26" s="26"/>
      <c r="C26" s="16"/>
      <c r="D26" s="16"/>
      <c r="E26" s="16"/>
      <c r="F26" s="16"/>
      <c r="G26" s="16"/>
      <c r="H26" s="16"/>
      <c r="I26" s="16"/>
      <c r="J26" s="18">
        <v>7</v>
      </c>
      <c r="K26" s="18" t="str">
        <f t="shared" si="0"/>
        <v>2225 SVEUČILIŠTE U RIJECI - MEDICINSKI FAKULTET</v>
      </c>
      <c r="L26" s="19">
        <v>2225</v>
      </c>
      <c r="M26" s="20" t="s">
        <v>302</v>
      </c>
      <c r="N26" s="20" t="s">
        <v>282</v>
      </c>
      <c r="O26" s="20" t="s">
        <v>303</v>
      </c>
      <c r="P26" s="20" t="s">
        <v>284</v>
      </c>
      <c r="Q26" s="21">
        <v>3328554</v>
      </c>
      <c r="R26" s="22" t="s">
        <v>304</v>
      </c>
      <c r="S26" s="22" t="s">
        <v>19</v>
      </c>
      <c r="T26" s="23" t="s">
        <v>18</v>
      </c>
      <c r="U26" s="16"/>
      <c r="V26" s="16"/>
      <c r="W26" s="16"/>
      <c r="X26" s="16"/>
      <c r="Y26" s="16"/>
      <c r="Z26" s="16"/>
      <c r="AA26" s="16"/>
    </row>
    <row r="27" spans="1:27" ht="15" hidden="1">
      <c r="A27" s="46"/>
      <c r="B27" s="46"/>
      <c r="C27" s="46"/>
      <c r="D27" s="46"/>
      <c r="E27" s="46"/>
      <c r="F27" s="47"/>
      <c r="G27" s="47"/>
      <c r="H27" s="47"/>
      <c r="I27" s="47"/>
      <c r="J27" s="18">
        <v>8</v>
      </c>
      <c r="K27" s="18" t="str">
        <f t="shared" si="0"/>
        <v>22568 SVEUČILIŠTE U RIJECI - POMORSKI FAKULTET</v>
      </c>
      <c r="L27" s="19">
        <v>22568</v>
      </c>
      <c r="M27" s="20" t="s">
        <v>305</v>
      </c>
      <c r="N27" s="20" t="s">
        <v>282</v>
      </c>
      <c r="O27" s="20" t="s">
        <v>306</v>
      </c>
      <c r="P27" s="20" t="s">
        <v>284</v>
      </c>
      <c r="Q27" s="21">
        <v>1580485</v>
      </c>
      <c r="R27" s="22" t="s">
        <v>307</v>
      </c>
      <c r="S27" s="22" t="s">
        <v>19</v>
      </c>
      <c r="T27" s="23" t="s">
        <v>18</v>
      </c>
      <c r="U27" s="47"/>
      <c r="V27" s="47"/>
      <c r="W27" s="47"/>
      <c r="X27" s="47"/>
      <c r="Y27" s="47"/>
      <c r="Z27" s="47"/>
      <c r="AA27" s="47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8">
        <v>9</v>
      </c>
      <c r="K28" s="18" t="str">
        <f t="shared" si="0"/>
        <v>2217 SVEUČILIŠTE U RIJECI - PRAVNI FAKULTET</v>
      </c>
      <c r="L28" s="19">
        <v>2217</v>
      </c>
      <c r="M28" s="20" t="s">
        <v>308</v>
      </c>
      <c r="N28" s="20" t="s">
        <v>282</v>
      </c>
      <c r="O28" s="20" t="s">
        <v>309</v>
      </c>
      <c r="P28" s="20" t="s">
        <v>284</v>
      </c>
      <c r="Q28" s="21">
        <v>3328562</v>
      </c>
      <c r="R28" s="22" t="s">
        <v>310</v>
      </c>
      <c r="S28" s="22" t="s">
        <v>19</v>
      </c>
      <c r="T28" s="23" t="s">
        <v>18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8">
        <v>10</v>
      </c>
      <c r="K29" s="18" t="str">
        <f t="shared" si="0"/>
        <v>2493 SVEUČILIŠTE U RIJECI - SVEUČILIŠNA KNJIŽNICA</v>
      </c>
      <c r="L29" s="19">
        <v>2493</v>
      </c>
      <c r="M29" s="20" t="s">
        <v>311</v>
      </c>
      <c r="N29" s="20" t="s">
        <v>282</v>
      </c>
      <c r="O29" s="20" t="s">
        <v>312</v>
      </c>
      <c r="P29" s="20" t="s">
        <v>284</v>
      </c>
      <c r="Q29" s="21">
        <v>3328686</v>
      </c>
      <c r="R29" s="22" t="s">
        <v>313</v>
      </c>
      <c r="S29" s="22" t="s">
        <v>19</v>
      </c>
      <c r="T29" s="23" t="s">
        <v>18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8">
        <v>11</v>
      </c>
      <c r="K30" s="18" t="str">
        <f t="shared" si="0"/>
        <v>2151 SVEUČILIŠTE U RIJECI - TEHNIČKI FAKULTET</v>
      </c>
      <c r="L30" s="19">
        <v>2151</v>
      </c>
      <c r="M30" s="20" t="s">
        <v>314</v>
      </c>
      <c r="N30" s="20" t="s">
        <v>282</v>
      </c>
      <c r="O30" s="20" t="s">
        <v>315</v>
      </c>
      <c r="P30" s="20" t="s">
        <v>284</v>
      </c>
      <c r="Q30" s="21">
        <v>3334317</v>
      </c>
      <c r="R30" s="22" t="s">
        <v>316</v>
      </c>
      <c r="S30" s="22" t="s">
        <v>19</v>
      </c>
      <c r="T30" s="23" t="s">
        <v>18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8">
        <v>12</v>
      </c>
      <c r="K31" s="18" t="str">
        <f t="shared" si="0"/>
        <v>40947 SVEUČILIŠTE U RIJECI - UČITELJSKI FAKULTET</v>
      </c>
      <c r="L31" s="19">
        <v>40947</v>
      </c>
      <c r="M31" s="20" t="s">
        <v>317</v>
      </c>
      <c r="N31" s="20" t="s">
        <v>282</v>
      </c>
      <c r="O31" s="20" t="s">
        <v>318</v>
      </c>
      <c r="P31" s="20" t="s">
        <v>284</v>
      </c>
      <c r="Q31" s="21">
        <v>2116073</v>
      </c>
      <c r="R31" s="22" t="s">
        <v>319</v>
      </c>
      <c r="S31" s="22" t="s">
        <v>19</v>
      </c>
      <c r="T31" s="23" t="s">
        <v>18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8">
        <v>13</v>
      </c>
      <c r="K32" s="18" t="str">
        <f t="shared" si="0"/>
        <v>48023 SVEUČILIŠTE U RIJECI - FAKULTET ZDRAVSTVENIH STUDIJA U RIJECI</v>
      </c>
      <c r="L32" s="19">
        <v>48023</v>
      </c>
      <c r="M32" s="20" t="s">
        <v>320</v>
      </c>
      <c r="N32" s="20" t="s">
        <v>282</v>
      </c>
      <c r="O32" s="20" t="s">
        <v>321</v>
      </c>
      <c r="P32" s="20" t="s">
        <v>284</v>
      </c>
      <c r="Q32" s="48" t="s">
        <v>322</v>
      </c>
      <c r="R32" s="22" t="s">
        <v>323</v>
      </c>
      <c r="S32" s="22" t="s">
        <v>19</v>
      </c>
      <c r="T32" s="23" t="s">
        <v>18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8">
        <v>1</v>
      </c>
      <c r="K33" s="18" t="str">
        <f t="shared" si="0"/>
        <v>2469 SVEUČILIŠTE U SPLITU</v>
      </c>
      <c r="L33" s="19">
        <v>2469</v>
      </c>
      <c r="M33" s="20" t="s">
        <v>324</v>
      </c>
      <c r="N33" s="20" t="s">
        <v>324</v>
      </c>
      <c r="O33" s="20" t="s">
        <v>325</v>
      </c>
      <c r="P33" s="20" t="s">
        <v>326</v>
      </c>
      <c r="Q33" s="21">
        <v>3129306</v>
      </c>
      <c r="R33" s="22" t="s">
        <v>327</v>
      </c>
      <c r="S33" s="22" t="s">
        <v>19</v>
      </c>
      <c r="T33" s="23" t="s">
        <v>18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8">
        <v>2</v>
      </c>
      <c r="K34" s="18" t="str">
        <f t="shared" si="0"/>
        <v>2372 SVEUČILIŠTE U SPLITU - EKONOMSKI FAKULTET</v>
      </c>
      <c r="L34" s="19">
        <v>2372</v>
      </c>
      <c r="M34" s="20" t="s">
        <v>328</v>
      </c>
      <c r="N34" s="20" t="s">
        <v>324</v>
      </c>
      <c r="O34" s="20" t="s">
        <v>329</v>
      </c>
      <c r="P34" s="20" t="s">
        <v>326</v>
      </c>
      <c r="Q34" s="21">
        <v>3119076</v>
      </c>
      <c r="R34" s="22" t="s">
        <v>330</v>
      </c>
      <c r="S34" s="22" t="s">
        <v>19</v>
      </c>
      <c r="T34" s="23" t="s">
        <v>18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8">
        <v>3</v>
      </c>
      <c r="K35" s="18" t="str">
        <f t="shared" si="0"/>
        <v>2330 SVEUČILIŠTE U SPLITU - FAKULTET ELEKTROTEHNIKE, STROJARSTVA I BRODOGRADNJE</v>
      </c>
      <c r="L35" s="19">
        <v>2330</v>
      </c>
      <c r="M35" s="20" t="s">
        <v>331</v>
      </c>
      <c r="N35" s="20" t="s">
        <v>324</v>
      </c>
      <c r="O35" s="20" t="s">
        <v>332</v>
      </c>
      <c r="P35" s="20" t="s">
        <v>326</v>
      </c>
      <c r="Q35" s="21">
        <v>3118339</v>
      </c>
      <c r="R35" s="22" t="s">
        <v>333</v>
      </c>
      <c r="S35" s="22" t="s">
        <v>19</v>
      </c>
      <c r="T35" s="23" t="s">
        <v>18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8">
        <v>4</v>
      </c>
      <c r="K36" s="18" t="str">
        <f t="shared" si="0"/>
        <v>22435 SVEUČILIŠTE U SPLITU - FILOZOFSKI FAKULTET</v>
      </c>
      <c r="L36" s="19">
        <v>22435</v>
      </c>
      <c r="M36" s="20" t="s">
        <v>334</v>
      </c>
      <c r="N36" s="20" t="s">
        <v>324</v>
      </c>
      <c r="O36" s="20" t="s">
        <v>335</v>
      </c>
      <c r="P36" s="20" t="s">
        <v>326</v>
      </c>
      <c r="Q36" s="21">
        <v>1413236</v>
      </c>
      <c r="R36" s="22" t="s">
        <v>336</v>
      </c>
      <c r="S36" s="22" t="s">
        <v>19</v>
      </c>
      <c r="T36" s="23" t="s">
        <v>18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8">
        <v>5</v>
      </c>
      <c r="K37" s="18" t="str">
        <f t="shared" si="0"/>
        <v>2348 SVEUČILIŠTE U SPLITU - FAKULTET GRAĐEVINARSTVA, ARHITEKTURE I GEODEZIJE</v>
      </c>
      <c r="L37" s="19">
        <v>2348</v>
      </c>
      <c r="M37" s="20" t="s">
        <v>337</v>
      </c>
      <c r="N37" s="20" t="s">
        <v>324</v>
      </c>
      <c r="O37" s="20" t="s">
        <v>338</v>
      </c>
      <c r="P37" s="20" t="s">
        <v>326</v>
      </c>
      <c r="Q37" s="21">
        <v>3149463</v>
      </c>
      <c r="R37" s="22" t="s">
        <v>339</v>
      </c>
      <c r="S37" s="22" t="s">
        <v>19</v>
      </c>
      <c r="T37" s="23" t="s">
        <v>18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8">
        <v>6</v>
      </c>
      <c r="K38" s="18" t="str">
        <f t="shared" si="0"/>
        <v>2356 SVEUČILIŠTE U SPLITU - KEMIJSKO-TEHNOLOŠKI FAKULTET</v>
      </c>
      <c r="L38" s="19">
        <v>2356</v>
      </c>
      <c r="M38" s="20" t="s">
        <v>340</v>
      </c>
      <c r="N38" s="20" t="s">
        <v>324</v>
      </c>
      <c r="O38" s="20" t="s">
        <v>341</v>
      </c>
      <c r="P38" s="20" t="s">
        <v>326</v>
      </c>
      <c r="Q38" s="21">
        <v>3119068</v>
      </c>
      <c r="R38" s="22" t="s">
        <v>342</v>
      </c>
      <c r="S38" s="22" t="s">
        <v>19</v>
      </c>
      <c r="T38" s="23" t="s">
        <v>18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8">
        <v>7</v>
      </c>
      <c r="K39" s="18" t="str">
        <f t="shared" si="0"/>
        <v>43773 SVEUČILIŠTE U SPLITU - KINEZIOLOŠKI FAKULTET</v>
      </c>
      <c r="L39" s="19">
        <v>43773</v>
      </c>
      <c r="M39" s="20" t="s">
        <v>343</v>
      </c>
      <c r="N39" s="20" t="s">
        <v>324</v>
      </c>
      <c r="O39" s="20" t="s">
        <v>344</v>
      </c>
      <c r="P39" s="20" t="s">
        <v>326</v>
      </c>
      <c r="Q39" s="21">
        <v>2393255</v>
      </c>
      <c r="R39" s="22" t="s">
        <v>345</v>
      </c>
      <c r="S39" s="22" t="s">
        <v>19</v>
      </c>
      <c r="T39" s="23" t="s">
        <v>18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8">
        <v>8</v>
      </c>
      <c r="K40" s="18" t="str">
        <f t="shared" si="0"/>
        <v>23368 SVEUČILIŠTE U SPLITU - KATOLIČKI BOGOSLOVNI FAKULTET</v>
      </c>
      <c r="L40" s="49">
        <v>23368</v>
      </c>
      <c r="M40" s="20" t="s">
        <v>346</v>
      </c>
      <c r="N40" s="20" t="s">
        <v>324</v>
      </c>
      <c r="O40" s="20" t="s">
        <v>347</v>
      </c>
      <c r="P40" s="20" t="s">
        <v>326</v>
      </c>
      <c r="Q40" s="21">
        <v>1465643</v>
      </c>
      <c r="R40" s="22">
        <v>36149548625</v>
      </c>
      <c r="S40" s="22" t="s">
        <v>19</v>
      </c>
      <c r="T40" s="23" t="s">
        <v>18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8">
        <v>9</v>
      </c>
      <c r="K41" s="18" t="str">
        <f t="shared" si="0"/>
        <v>22451 SVEUČILIŠTE U SPLITU - MEDICINSKI FAKULTET</v>
      </c>
      <c r="L41" s="19">
        <v>22451</v>
      </c>
      <c r="M41" s="20" t="s">
        <v>348</v>
      </c>
      <c r="N41" s="20" t="s">
        <v>324</v>
      </c>
      <c r="O41" s="20" t="s">
        <v>349</v>
      </c>
      <c r="P41" s="20" t="s">
        <v>326</v>
      </c>
      <c r="Q41" s="21">
        <v>1315366</v>
      </c>
      <c r="R41" s="22" t="s">
        <v>350</v>
      </c>
      <c r="S41" s="22" t="s">
        <v>19</v>
      </c>
      <c r="T41" s="23" t="s">
        <v>18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8">
        <v>10</v>
      </c>
      <c r="K42" s="18" t="str">
        <f t="shared" si="0"/>
        <v>22460 SVEUČILIŠTE U SPLITU - POMORSKI FAKULTET</v>
      </c>
      <c r="L42" s="19">
        <v>22460</v>
      </c>
      <c r="M42" s="20" t="s">
        <v>351</v>
      </c>
      <c r="N42" s="20" t="s">
        <v>324</v>
      </c>
      <c r="O42" s="20" t="s">
        <v>352</v>
      </c>
      <c r="P42" s="20" t="s">
        <v>326</v>
      </c>
      <c r="Q42" s="21">
        <v>1406043</v>
      </c>
      <c r="R42" s="22" t="s">
        <v>353</v>
      </c>
      <c r="S42" s="22" t="s">
        <v>19</v>
      </c>
      <c r="T42" s="23" t="s">
        <v>18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8">
        <v>11</v>
      </c>
      <c r="K43" s="18" t="str">
        <f t="shared" si="0"/>
        <v>2397 SVEUČILIŠTE U SPLITU - PRAVNI FAKULTET</v>
      </c>
      <c r="L43" s="19">
        <v>2397</v>
      </c>
      <c r="M43" s="20" t="s">
        <v>354</v>
      </c>
      <c r="N43" s="20" t="s">
        <v>324</v>
      </c>
      <c r="O43" s="20" t="s">
        <v>355</v>
      </c>
      <c r="P43" s="20" t="s">
        <v>326</v>
      </c>
      <c r="Q43" s="21">
        <v>3118347</v>
      </c>
      <c r="R43" s="22" t="s">
        <v>356</v>
      </c>
      <c r="S43" s="22" t="s">
        <v>19</v>
      </c>
      <c r="T43" s="23" t="s">
        <v>18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8">
        <v>12</v>
      </c>
      <c r="K44" s="18" t="str">
        <f t="shared" si="0"/>
        <v>2410 SVEUČILIŠTE U SPLITU - PRIRODOSLOVNO - MATEMATIČKI FAKULTET</v>
      </c>
      <c r="L44" s="19">
        <v>2410</v>
      </c>
      <c r="M44" s="20" t="s">
        <v>357</v>
      </c>
      <c r="N44" s="20" t="s">
        <v>324</v>
      </c>
      <c r="O44" s="20" t="s">
        <v>358</v>
      </c>
      <c r="P44" s="20" t="s">
        <v>326</v>
      </c>
      <c r="Q44" s="21">
        <v>3199622</v>
      </c>
      <c r="R44" s="22" t="s">
        <v>359</v>
      </c>
      <c r="S44" s="22" t="s">
        <v>19</v>
      </c>
      <c r="T44" s="23" t="s">
        <v>18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8">
        <v>13</v>
      </c>
      <c r="K45" s="18" t="str">
        <f t="shared" si="0"/>
        <v>2524 SVEUČILIŠTE U SPLITU - SVEUČILIŠNA KNJIŽNICA</v>
      </c>
      <c r="L45" s="19">
        <v>2524</v>
      </c>
      <c r="M45" s="20" t="s">
        <v>360</v>
      </c>
      <c r="N45" s="20" t="s">
        <v>324</v>
      </c>
      <c r="O45" s="20" t="s">
        <v>361</v>
      </c>
      <c r="P45" s="20" t="s">
        <v>326</v>
      </c>
      <c r="Q45" s="21">
        <v>3118436</v>
      </c>
      <c r="R45" s="22" t="s">
        <v>362</v>
      </c>
      <c r="S45" s="22" t="s">
        <v>19</v>
      </c>
      <c r="T45" s="23" t="s">
        <v>18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8">
        <v>14</v>
      </c>
      <c r="K46" s="18" t="str">
        <f t="shared" si="0"/>
        <v>22478 SVEUČILIŠTE U SPLITU - UMJETNIČKA AKADEMIJA</v>
      </c>
      <c r="L46" s="19">
        <v>22478</v>
      </c>
      <c r="M46" s="20" t="s">
        <v>363</v>
      </c>
      <c r="N46" s="20" t="s">
        <v>324</v>
      </c>
      <c r="O46" s="20" t="s">
        <v>364</v>
      </c>
      <c r="P46" s="20" t="s">
        <v>326</v>
      </c>
      <c r="Q46" s="21">
        <v>1321358</v>
      </c>
      <c r="R46" s="22" t="s">
        <v>365</v>
      </c>
      <c r="S46" s="22" t="s">
        <v>19</v>
      </c>
      <c r="T46" s="23" t="s">
        <v>18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8">
        <v>1</v>
      </c>
      <c r="K47" s="18" t="str">
        <f t="shared" si="0"/>
        <v>2436 SVEUČILIŠTE U ZAGREBU</v>
      </c>
      <c r="L47" s="19">
        <v>2436</v>
      </c>
      <c r="M47" s="20" t="s">
        <v>366</v>
      </c>
      <c r="N47" s="20" t="s">
        <v>324</v>
      </c>
      <c r="O47" s="20" t="s">
        <v>367</v>
      </c>
      <c r="P47" s="20" t="s">
        <v>368</v>
      </c>
      <c r="Q47" s="21">
        <v>3211592</v>
      </c>
      <c r="R47" s="22" t="s">
        <v>369</v>
      </c>
      <c r="S47" s="22" t="s">
        <v>19</v>
      </c>
      <c r="T47" s="23" t="s">
        <v>18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8">
        <v>2</v>
      </c>
      <c r="K48" s="18" t="str">
        <f t="shared" si="0"/>
        <v>1923 SVEUČILIŠTE U ZAGREBU - AGRONOMSKI FAKULTET</v>
      </c>
      <c r="L48" s="19">
        <v>1923</v>
      </c>
      <c r="M48" s="20" t="s">
        <v>370</v>
      </c>
      <c r="N48" s="20" t="s">
        <v>324</v>
      </c>
      <c r="O48" s="20" t="s">
        <v>371</v>
      </c>
      <c r="P48" s="20" t="s">
        <v>368</v>
      </c>
      <c r="Q48" s="21">
        <v>3283097</v>
      </c>
      <c r="R48" s="22" t="s">
        <v>372</v>
      </c>
      <c r="S48" s="22" t="s">
        <v>19</v>
      </c>
      <c r="T48" s="23" t="s">
        <v>18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8">
        <v>3</v>
      </c>
      <c r="K49" s="18" t="str">
        <f t="shared" si="0"/>
        <v>1974 SVEUČILIŠTE U ZAGREBU - AKADEMIJA DRAMSKE UMJETNOSTI</v>
      </c>
      <c r="L49" s="19">
        <v>1974</v>
      </c>
      <c r="M49" s="20" t="s">
        <v>373</v>
      </c>
      <c r="N49" s="20" t="s">
        <v>324</v>
      </c>
      <c r="O49" s="20" t="s">
        <v>374</v>
      </c>
      <c r="P49" s="20" t="s">
        <v>368</v>
      </c>
      <c r="Q49" s="21">
        <v>3205029</v>
      </c>
      <c r="R49" s="22" t="s">
        <v>375</v>
      </c>
      <c r="S49" s="22" t="s">
        <v>19</v>
      </c>
      <c r="T49" s="23" t="s">
        <v>18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8">
        <v>4</v>
      </c>
      <c r="K50" s="18" t="str">
        <f t="shared" si="0"/>
        <v>1982 SVEUČILIŠTE U ZAGREBU - AKADEMIJA LIKOVNIH UMJETNOSTI</v>
      </c>
      <c r="L50" s="19">
        <v>1982</v>
      </c>
      <c r="M50" s="20" t="s">
        <v>376</v>
      </c>
      <c r="N50" s="20" t="s">
        <v>324</v>
      </c>
      <c r="O50" s="20" t="s">
        <v>377</v>
      </c>
      <c r="P50" s="20" t="s">
        <v>368</v>
      </c>
      <c r="Q50" s="21">
        <v>3207919</v>
      </c>
      <c r="R50" s="22" t="s">
        <v>378</v>
      </c>
      <c r="S50" s="22" t="s">
        <v>19</v>
      </c>
      <c r="T50" s="23" t="s">
        <v>18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8">
        <v>5</v>
      </c>
      <c r="K51" s="18" t="str">
        <f t="shared" si="0"/>
        <v xml:space="preserve">1861 SVEUČILIŠTE U ZAGREBU - ARHITEKTONSKI FAKULTET </v>
      </c>
      <c r="L51" s="19">
        <v>1861</v>
      </c>
      <c r="M51" s="20" t="s">
        <v>379</v>
      </c>
      <c r="N51" s="20" t="s">
        <v>324</v>
      </c>
      <c r="O51" s="20" t="s">
        <v>380</v>
      </c>
      <c r="P51" s="20" t="s">
        <v>368</v>
      </c>
      <c r="Q51" s="21">
        <v>3204952</v>
      </c>
      <c r="R51" s="22" t="s">
        <v>381</v>
      </c>
      <c r="S51" s="22" t="s">
        <v>19</v>
      </c>
      <c r="T51" s="23" t="s">
        <v>18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8">
        <v>6</v>
      </c>
      <c r="K52" s="18" t="str">
        <f t="shared" si="0"/>
        <v xml:space="preserve">1966 SVEUČILIŠTE U ZAGREBU - EDUKACIJSKO-REHABILITACIJSKI FAKULTET </v>
      </c>
      <c r="L52" s="19">
        <v>1966</v>
      </c>
      <c r="M52" s="20" t="s">
        <v>382</v>
      </c>
      <c r="N52" s="20" t="s">
        <v>324</v>
      </c>
      <c r="O52" s="20" t="s">
        <v>383</v>
      </c>
      <c r="P52" s="20" t="s">
        <v>368</v>
      </c>
      <c r="Q52" s="21">
        <v>3219780</v>
      </c>
      <c r="R52" s="22" t="s">
        <v>384</v>
      </c>
      <c r="S52" s="22" t="s">
        <v>19</v>
      </c>
      <c r="T52" s="23" t="s">
        <v>18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8">
        <v>7</v>
      </c>
      <c r="K53" s="18" t="str">
        <f t="shared" si="0"/>
        <v>1931 SVEUČILIŠTE U ZAGREBU - EKONOMSKI FAKULTET</v>
      </c>
      <c r="L53" s="19">
        <v>1931</v>
      </c>
      <c r="M53" s="20" t="s">
        <v>385</v>
      </c>
      <c r="N53" s="20" t="s">
        <v>324</v>
      </c>
      <c r="O53" s="20" t="s">
        <v>386</v>
      </c>
      <c r="P53" s="20" t="s">
        <v>368</v>
      </c>
      <c r="Q53" s="21">
        <v>3272079</v>
      </c>
      <c r="R53" s="22" t="s">
        <v>387</v>
      </c>
      <c r="S53" s="22" t="s">
        <v>19</v>
      </c>
      <c r="T53" s="23" t="s">
        <v>18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8">
        <v>8</v>
      </c>
      <c r="K54" s="18" t="str">
        <f t="shared" si="0"/>
        <v>1757 SVEUČILIŠTE U ZAGREBU - FAKULTET ELEKTROTEHNIKE I RAČUNARSTVA</v>
      </c>
      <c r="L54" s="19">
        <v>1757</v>
      </c>
      <c r="M54" s="20" t="s">
        <v>388</v>
      </c>
      <c r="N54" s="20" t="s">
        <v>324</v>
      </c>
      <c r="O54" s="20" t="s">
        <v>389</v>
      </c>
      <c r="P54" s="20" t="s">
        <v>368</v>
      </c>
      <c r="Q54" s="21">
        <v>3276643</v>
      </c>
      <c r="R54" s="22" t="s">
        <v>390</v>
      </c>
      <c r="S54" s="22" t="s">
        <v>19</v>
      </c>
      <c r="T54" s="23" t="s">
        <v>18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8">
        <v>9</v>
      </c>
      <c r="K55" s="18" t="str">
        <f t="shared" si="0"/>
        <v>6154 SVEUČILIŠTA U ZAGREBU - FAKULTET FILOZOFIJE I RELIGIJSKIH ZNANOSTI</v>
      </c>
      <c r="L55" s="19">
        <v>6154</v>
      </c>
      <c r="M55" s="20" t="s">
        <v>391</v>
      </c>
      <c r="N55" s="20" t="s">
        <v>324</v>
      </c>
      <c r="O55" s="20" t="s">
        <v>392</v>
      </c>
      <c r="P55" s="20" t="s">
        <v>368</v>
      </c>
      <c r="Q55" s="21">
        <v>1235664</v>
      </c>
      <c r="R55" s="22" t="s">
        <v>393</v>
      </c>
      <c r="S55" s="22" t="s">
        <v>19</v>
      </c>
      <c r="T55" s="23" t="s">
        <v>18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8">
        <v>10</v>
      </c>
      <c r="K56" s="18" t="str">
        <f t="shared" si="0"/>
        <v xml:space="preserve">2135 SVEUČILIŠTE U ZAGREBU - KATOLIČKI BOGOSLOVNI FAKULTET </v>
      </c>
      <c r="L56" s="19">
        <v>2135</v>
      </c>
      <c r="M56" s="20" t="s">
        <v>394</v>
      </c>
      <c r="N56" s="20" t="s">
        <v>324</v>
      </c>
      <c r="O56" s="20" t="s">
        <v>395</v>
      </c>
      <c r="P56" s="20" t="s">
        <v>368</v>
      </c>
      <c r="Q56" s="21">
        <v>3703088</v>
      </c>
      <c r="R56" s="22">
        <v>48987767944</v>
      </c>
      <c r="S56" s="22" t="s">
        <v>19</v>
      </c>
      <c r="T56" s="23" t="s">
        <v>18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8">
        <v>11</v>
      </c>
      <c r="K57" s="18" t="str">
        <f t="shared" si="0"/>
        <v>1790 SVEUČILIŠTE U ZAGREBU - FAKULTET KEMIJSKOG INŽENJERSTVA I TEHNOLOGIJE</v>
      </c>
      <c r="L57" s="19">
        <v>1790</v>
      </c>
      <c r="M57" s="20" t="s">
        <v>396</v>
      </c>
      <c r="N57" s="20" t="s">
        <v>324</v>
      </c>
      <c r="O57" s="20" t="s">
        <v>397</v>
      </c>
      <c r="P57" s="20" t="s">
        <v>368</v>
      </c>
      <c r="Q57" s="21">
        <v>3250270</v>
      </c>
      <c r="R57" s="22" t="s">
        <v>398</v>
      </c>
      <c r="S57" s="22" t="s">
        <v>19</v>
      </c>
      <c r="T57" s="23" t="s">
        <v>18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8">
        <v>12</v>
      </c>
      <c r="K58" s="18" t="str">
        <f t="shared" si="0"/>
        <v>1907 SVEUČILIŠTE U ZAGREBU - FAKULTET POLITIČKIH ZNANOSTI</v>
      </c>
      <c r="L58" s="19">
        <v>1907</v>
      </c>
      <c r="M58" s="20" t="s">
        <v>399</v>
      </c>
      <c r="N58" s="20" t="s">
        <v>324</v>
      </c>
      <c r="O58" s="20" t="s">
        <v>400</v>
      </c>
      <c r="P58" s="20" t="s">
        <v>368</v>
      </c>
      <c r="Q58" s="21">
        <v>3270262</v>
      </c>
      <c r="R58" s="22" t="s">
        <v>401</v>
      </c>
      <c r="S58" s="22" t="s">
        <v>19</v>
      </c>
      <c r="T58" s="23" t="s">
        <v>18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8">
        <v>13</v>
      </c>
      <c r="K59" s="18" t="str">
        <f t="shared" si="0"/>
        <v>1812 SVEUČILIŠTE U ZAGREBU - FAKULTET PROMETNIH ZNANOSTI</v>
      </c>
      <c r="L59" s="19">
        <v>1812</v>
      </c>
      <c r="M59" s="20" t="s">
        <v>402</v>
      </c>
      <c r="N59" s="20" t="s">
        <v>324</v>
      </c>
      <c r="O59" s="20" t="s">
        <v>403</v>
      </c>
      <c r="P59" s="20" t="s">
        <v>368</v>
      </c>
      <c r="Q59" s="21">
        <v>3260771</v>
      </c>
      <c r="R59" s="22" t="s">
        <v>404</v>
      </c>
      <c r="S59" s="22" t="s">
        <v>19</v>
      </c>
      <c r="T59" s="23" t="s">
        <v>18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8">
        <v>14</v>
      </c>
      <c r="K60" s="18" t="str">
        <f t="shared" si="0"/>
        <v>1829 SVEUČILIŠTE U ZAGREBU - FAKULTET STROJARSTVA I BRODOGRADNJE</v>
      </c>
      <c r="L60" s="19">
        <v>1829</v>
      </c>
      <c r="M60" s="20" t="s">
        <v>405</v>
      </c>
      <c r="N60" s="20" t="s">
        <v>324</v>
      </c>
      <c r="O60" s="20" t="s">
        <v>406</v>
      </c>
      <c r="P60" s="20" t="s">
        <v>368</v>
      </c>
      <c r="Q60" s="21">
        <v>3276546</v>
      </c>
      <c r="R60" s="22" t="s">
        <v>407</v>
      </c>
      <c r="S60" s="22" t="s">
        <v>19</v>
      </c>
      <c r="T60" s="23" t="s">
        <v>18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8">
        <v>15</v>
      </c>
      <c r="K61" s="18" t="str">
        <f t="shared" si="0"/>
        <v xml:space="preserve">2014 SVEUČILIŠTE U ZAGREBU - FARMACEUTSKO-BIOKEMIJSKI FAKULTET </v>
      </c>
      <c r="L61" s="19">
        <v>2014</v>
      </c>
      <c r="M61" s="20" t="s">
        <v>408</v>
      </c>
      <c r="N61" s="20" t="s">
        <v>324</v>
      </c>
      <c r="O61" s="20" t="s">
        <v>409</v>
      </c>
      <c r="P61" s="20" t="s">
        <v>368</v>
      </c>
      <c r="Q61" s="21">
        <v>3205037</v>
      </c>
      <c r="R61" s="22" t="s">
        <v>410</v>
      </c>
      <c r="S61" s="22" t="s">
        <v>19</v>
      </c>
      <c r="T61" s="23" t="s">
        <v>18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8">
        <v>16</v>
      </c>
      <c r="K62" s="18" t="str">
        <f t="shared" si="0"/>
        <v>1958 SVEUČILIŠTE U ZAGREBU - FILOZOFSKI FAKULTET</v>
      </c>
      <c r="L62" s="19">
        <v>1958</v>
      </c>
      <c r="M62" s="20" t="s">
        <v>411</v>
      </c>
      <c r="N62" s="20" t="s">
        <v>324</v>
      </c>
      <c r="O62" s="20" t="s">
        <v>412</v>
      </c>
      <c r="P62" s="20" t="s">
        <v>368</v>
      </c>
      <c r="Q62" s="21">
        <v>3254852</v>
      </c>
      <c r="R62" s="22" t="s">
        <v>413</v>
      </c>
      <c r="S62" s="22" t="s">
        <v>19</v>
      </c>
      <c r="T62" s="23" t="s">
        <v>18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8">
        <v>17</v>
      </c>
      <c r="K63" s="18" t="str">
        <f t="shared" si="0"/>
        <v>1853 SVEUČILIŠTE U ZAGREBU - GEODETSKI FAKULTET</v>
      </c>
      <c r="L63" s="19">
        <v>1853</v>
      </c>
      <c r="M63" s="20" t="s">
        <v>414</v>
      </c>
      <c r="N63" s="20" t="s">
        <v>324</v>
      </c>
      <c r="O63" s="20" t="s">
        <v>415</v>
      </c>
      <c r="P63" s="20" t="s">
        <v>368</v>
      </c>
      <c r="Q63" s="21">
        <v>3204987</v>
      </c>
      <c r="R63" s="22" t="s">
        <v>416</v>
      </c>
      <c r="S63" s="22" t="s">
        <v>19</v>
      </c>
      <c r="T63" s="23" t="s">
        <v>18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8">
        <v>18</v>
      </c>
      <c r="K64" s="18" t="str">
        <f t="shared" si="0"/>
        <v>2102 SVEUČILIŠTE U ZAGREBU - GEOTEHNIČKI FAKULTET</v>
      </c>
      <c r="L64" s="19">
        <v>2102</v>
      </c>
      <c r="M64" s="20" t="s">
        <v>417</v>
      </c>
      <c r="N64" s="20" t="s">
        <v>324</v>
      </c>
      <c r="O64" s="20" t="s">
        <v>418</v>
      </c>
      <c r="P64" s="20" t="s">
        <v>419</v>
      </c>
      <c r="Q64" s="21">
        <v>3042316</v>
      </c>
      <c r="R64" s="22" t="s">
        <v>420</v>
      </c>
      <c r="S64" s="22" t="s">
        <v>19</v>
      </c>
      <c r="T64" s="23" t="s">
        <v>18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8">
        <v>19</v>
      </c>
      <c r="K65" s="18" t="str">
        <f t="shared" si="0"/>
        <v>1837 SVEUČILIŠTE U ZAGREBU - GRAĐEVINSKI FAKULTET</v>
      </c>
      <c r="L65" s="19">
        <v>1837</v>
      </c>
      <c r="M65" s="20" t="s">
        <v>421</v>
      </c>
      <c r="N65" s="20" t="s">
        <v>324</v>
      </c>
      <c r="O65" s="20" t="s">
        <v>422</v>
      </c>
      <c r="P65" s="20" t="s">
        <v>368</v>
      </c>
      <c r="Q65" s="21">
        <v>3227120</v>
      </c>
      <c r="R65" s="22" t="s">
        <v>423</v>
      </c>
      <c r="S65" s="22" t="s">
        <v>19</v>
      </c>
      <c r="T65" s="23" t="s">
        <v>18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8">
        <v>20</v>
      </c>
      <c r="K66" s="18" t="str">
        <f t="shared" ref="K66:K89" si="1">L66&amp;" "&amp;M66</f>
        <v>2080 SVEUČILIŠTE U ZAGREBU - GRAFIČKI FAKULTET</v>
      </c>
      <c r="L66" s="19">
        <v>2080</v>
      </c>
      <c r="M66" s="20" t="s">
        <v>424</v>
      </c>
      <c r="N66" s="20" t="s">
        <v>324</v>
      </c>
      <c r="O66" s="20" t="s">
        <v>425</v>
      </c>
      <c r="P66" s="20" t="s">
        <v>368</v>
      </c>
      <c r="Q66" s="21">
        <v>3219763</v>
      </c>
      <c r="R66" s="22" t="s">
        <v>426</v>
      </c>
      <c r="S66" s="22" t="s">
        <v>19</v>
      </c>
      <c r="T66" s="23" t="s">
        <v>18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8">
        <v>21</v>
      </c>
      <c r="K67" s="18" t="str">
        <f t="shared" si="1"/>
        <v>2006 SVEUČILIŠTE U ZAGREBU - KINEZIOLOŠKI FAKULTET</v>
      </c>
      <c r="L67" s="19">
        <v>2006</v>
      </c>
      <c r="M67" s="20" t="s">
        <v>427</v>
      </c>
      <c r="N67" s="20" t="s">
        <v>324</v>
      </c>
      <c r="O67" s="20" t="s">
        <v>428</v>
      </c>
      <c r="P67" s="20" t="s">
        <v>368</v>
      </c>
      <c r="Q67" s="21">
        <v>3274080</v>
      </c>
      <c r="R67" s="22" t="s">
        <v>429</v>
      </c>
      <c r="S67" s="22" t="s">
        <v>19</v>
      </c>
      <c r="T67" s="23" t="s">
        <v>18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8">
        <v>22</v>
      </c>
      <c r="K68" s="18" t="str">
        <f t="shared" si="1"/>
        <v>1888 SVEUČILIŠTE U ZAGREBU - MEDICINSKI FAKULTET</v>
      </c>
      <c r="L68" s="19">
        <v>1888</v>
      </c>
      <c r="M68" s="20" t="s">
        <v>430</v>
      </c>
      <c r="N68" s="20" t="s">
        <v>324</v>
      </c>
      <c r="O68" s="20" t="s">
        <v>431</v>
      </c>
      <c r="P68" s="20" t="s">
        <v>368</v>
      </c>
      <c r="Q68" s="21">
        <v>3270211</v>
      </c>
      <c r="R68" s="22" t="s">
        <v>432</v>
      </c>
      <c r="S68" s="22" t="s">
        <v>19</v>
      </c>
      <c r="T68" s="23" t="s">
        <v>18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8">
        <v>23</v>
      </c>
      <c r="K69" s="18" t="str">
        <f t="shared" si="1"/>
        <v>2071 SVEUČILIŠTE U ZAGREBU - METALURŠKI FAKULTET SISAK</v>
      </c>
      <c r="L69" s="19">
        <v>2071</v>
      </c>
      <c r="M69" s="20" t="s">
        <v>433</v>
      </c>
      <c r="N69" s="20" t="s">
        <v>324</v>
      </c>
      <c r="O69" s="20" t="s">
        <v>434</v>
      </c>
      <c r="P69" s="20" t="s">
        <v>435</v>
      </c>
      <c r="Q69" s="21">
        <v>3313786</v>
      </c>
      <c r="R69" s="22" t="s">
        <v>436</v>
      </c>
      <c r="S69" s="22" t="s">
        <v>19</v>
      </c>
      <c r="T69" s="23" t="s">
        <v>18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8">
        <v>24</v>
      </c>
      <c r="K70" s="18" t="str">
        <f t="shared" si="1"/>
        <v>1999 SVEUČILIŠTE U ZAGREBU - MUZIČKA AKADEMIJA</v>
      </c>
      <c r="L70" s="19">
        <v>1999</v>
      </c>
      <c r="M70" s="20" t="s">
        <v>437</v>
      </c>
      <c r="N70" s="20" t="s">
        <v>324</v>
      </c>
      <c r="O70" s="20" t="s">
        <v>438</v>
      </c>
      <c r="P70" s="20" t="s">
        <v>368</v>
      </c>
      <c r="Q70" s="21">
        <v>3205002</v>
      </c>
      <c r="R70" s="22" t="s">
        <v>439</v>
      </c>
      <c r="S70" s="22" t="s">
        <v>19</v>
      </c>
      <c r="T70" s="23" t="s">
        <v>18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8">
        <v>25</v>
      </c>
      <c r="K71" s="18" t="str">
        <f t="shared" si="1"/>
        <v>1915 SVEUČILIŠTE U ZAGREBU - PRAVNI FAKULTET</v>
      </c>
      <c r="L71" s="19">
        <v>1915</v>
      </c>
      <c r="M71" s="20" t="s">
        <v>440</v>
      </c>
      <c r="N71" s="20" t="s">
        <v>324</v>
      </c>
      <c r="O71" s="20" t="s">
        <v>441</v>
      </c>
      <c r="P71" s="20" t="s">
        <v>368</v>
      </c>
      <c r="Q71" s="21">
        <v>3225909</v>
      </c>
      <c r="R71" s="22" t="s">
        <v>442</v>
      </c>
      <c r="S71" s="22" t="s">
        <v>19</v>
      </c>
      <c r="T71" s="23" t="s">
        <v>18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8">
        <v>26</v>
      </c>
      <c r="K72" s="18" t="str">
        <f t="shared" si="1"/>
        <v>1845 SVEUČILIŠTE U ZAGREBU - PREHRAMBENO BIOTEHNOLOŠKI FAKULTET</v>
      </c>
      <c r="L72" s="19">
        <v>1845</v>
      </c>
      <c r="M72" s="20" t="s">
        <v>443</v>
      </c>
      <c r="N72" s="20" t="s">
        <v>324</v>
      </c>
      <c r="O72" s="20" t="s">
        <v>444</v>
      </c>
      <c r="P72" s="20" t="s">
        <v>368</v>
      </c>
      <c r="Q72" s="21">
        <v>3207102</v>
      </c>
      <c r="R72" s="22" t="s">
        <v>445</v>
      </c>
      <c r="S72" s="22" t="s">
        <v>19</v>
      </c>
      <c r="T72" s="23" t="s">
        <v>18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8">
        <v>27</v>
      </c>
      <c r="K73" s="18" t="str">
        <f t="shared" si="1"/>
        <v>1781 SVEUČILIŠTE U ZAGREBU - PRIRODOSLOVNO-MATEMATIČKI FAKULTET</v>
      </c>
      <c r="L73" s="19">
        <v>1781</v>
      </c>
      <c r="M73" s="20" t="s">
        <v>446</v>
      </c>
      <c r="N73" s="20" t="s">
        <v>324</v>
      </c>
      <c r="O73" s="20" t="s">
        <v>447</v>
      </c>
      <c r="P73" s="20" t="s">
        <v>368</v>
      </c>
      <c r="Q73" s="21">
        <v>3270149</v>
      </c>
      <c r="R73" s="22" t="s">
        <v>448</v>
      </c>
      <c r="S73" s="22" t="s">
        <v>19</v>
      </c>
      <c r="T73" s="23" t="s">
        <v>18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8">
        <v>28</v>
      </c>
      <c r="K74" s="18" t="str">
        <f t="shared" si="1"/>
        <v>2047 SVEUČILIŠTE U ZAGREBU - RUDARSKO-GEOLOŠKO-NAFTNI FAKULTET</v>
      </c>
      <c r="L74" s="19">
        <v>2047</v>
      </c>
      <c r="M74" s="20" t="s">
        <v>449</v>
      </c>
      <c r="N74" s="20" t="s">
        <v>324</v>
      </c>
      <c r="O74" s="20" t="s">
        <v>450</v>
      </c>
      <c r="P74" s="20" t="s">
        <v>368</v>
      </c>
      <c r="Q74" s="21">
        <v>3207005</v>
      </c>
      <c r="R74" s="22" t="s">
        <v>451</v>
      </c>
      <c r="S74" s="22" t="s">
        <v>19</v>
      </c>
      <c r="T74" s="23" t="s">
        <v>18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8">
        <v>29</v>
      </c>
      <c r="K75" s="18" t="str">
        <f t="shared" si="1"/>
        <v>1870 SVEUČILIŠTE U ZAGREBU - STOMATOLOŠKI FAKULTET</v>
      </c>
      <c r="L75" s="19">
        <v>1870</v>
      </c>
      <c r="M75" s="20" t="s">
        <v>452</v>
      </c>
      <c r="N75" s="20" t="s">
        <v>324</v>
      </c>
      <c r="O75" s="20" t="s">
        <v>453</v>
      </c>
      <c r="P75" s="20" t="s">
        <v>368</v>
      </c>
      <c r="Q75" s="21">
        <v>3204995</v>
      </c>
      <c r="R75" s="22" t="s">
        <v>454</v>
      </c>
      <c r="S75" s="22" t="s">
        <v>19</v>
      </c>
      <c r="T75" s="23" t="s">
        <v>18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8">
        <v>30</v>
      </c>
      <c r="K76" s="18" t="str">
        <f t="shared" si="1"/>
        <v>1896 SVEUČILIŠTE U ZAGREBU - ŠUMARSKI FAKULTET</v>
      </c>
      <c r="L76" s="19">
        <v>1896</v>
      </c>
      <c r="M76" s="20" t="s">
        <v>455</v>
      </c>
      <c r="N76" s="20" t="s">
        <v>324</v>
      </c>
      <c r="O76" s="20" t="s">
        <v>456</v>
      </c>
      <c r="P76" s="20" t="s">
        <v>368</v>
      </c>
      <c r="Q76" s="21">
        <v>3281485</v>
      </c>
      <c r="R76" s="22" t="s">
        <v>457</v>
      </c>
      <c r="S76" s="22" t="s">
        <v>19</v>
      </c>
      <c r="T76" s="23" t="s">
        <v>18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8">
        <v>31</v>
      </c>
      <c r="K77" s="18" t="str">
        <f t="shared" si="1"/>
        <v>1804 SVEUČILIŠTE U ZAGREBU - TEKSTILNO TEHNOLOŠKI FAKULTET</v>
      </c>
      <c r="L77" s="19">
        <v>1804</v>
      </c>
      <c r="M77" s="20" t="s">
        <v>458</v>
      </c>
      <c r="N77" s="20" t="s">
        <v>324</v>
      </c>
      <c r="O77" s="20" t="s">
        <v>459</v>
      </c>
      <c r="P77" s="20" t="s">
        <v>368</v>
      </c>
      <c r="Q77" s="21">
        <v>3207064</v>
      </c>
      <c r="R77" s="22" t="s">
        <v>460</v>
      </c>
      <c r="S77" s="22" t="s">
        <v>19</v>
      </c>
      <c r="T77" s="23" t="s">
        <v>18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8">
        <v>32</v>
      </c>
      <c r="K78" s="18" t="str">
        <f t="shared" si="1"/>
        <v>1940 SVEUČILIŠTE U ZAGREBU - UČITELJSKI FAKULTET</v>
      </c>
      <c r="L78" s="19">
        <v>1940</v>
      </c>
      <c r="M78" s="20" t="s">
        <v>461</v>
      </c>
      <c r="N78" s="20" t="s">
        <v>324</v>
      </c>
      <c r="O78" s="20" t="s">
        <v>462</v>
      </c>
      <c r="P78" s="20" t="s">
        <v>368</v>
      </c>
      <c r="Q78" s="21">
        <v>1422545</v>
      </c>
      <c r="R78" s="22" t="s">
        <v>463</v>
      </c>
      <c r="S78" s="22" t="s">
        <v>19</v>
      </c>
      <c r="T78" s="23" t="s">
        <v>18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8">
        <v>33</v>
      </c>
      <c r="K79" s="18" t="str">
        <f t="shared" si="1"/>
        <v>2022 SVEUČILIŠTE U ZAGREBU - VETERINARSKI FAKULTET</v>
      </c>
      <c r="L79" s="19">
        <v>2022</v>
      </c>
      <c r="M79" s="20" t="s">
        <v>464</v>
      </c>
      <c r="N79" s="20" t="s">
        <v>324</v>
      </c>
      <c r="O79" s="20" t="s">
        <v>465</v>
      </c>
      <c r="P79" s="20" t="s">
        <v>368</v>
      </c>
      <c r="Q79" s="21">
        <v>3225755</v>
      </c>
      <c r="R79" s="22" t="s">
        <v>466</v>
      </c>
      <c r="S79" s="22" t="s">
        <v>19</v>
      </c>
      <c r="T79" s="23" t="s">
        <v>18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8">
        <v>34</v>
      </c>
      <c r="K80" s="18" t="str">
        <f t="shared" si="1"/>
        <v>2063 FAKULTET ORGANIZACIJE I INFORMATIKE U VARAŽDINU</v>
      </c>
      <c r="L80" s="19">
        <v>2063</v>
      </c>
      <c r="M80" s="20" t="s">
        <v>467</v>
      </c>
      <c r="N80" s="20" t="s">
        <v>324</v>
      </c>
      <c r="O80" s="20" t="s">
        <v>468</v>
      </c>
      <c r="P80" s="20" t="s">
        <v>419</v>
      </c>
      <c r="Q80" s="21">
        <v>3006107</v>
      </c>
      <c r="R80" s="22" t="s">
        <v>469</v>
      </c>
      <c r="S80" s="22" t="s">
        <v>19</v>
      </c>
      <c r="T80" s="23" t="s">
        <v>18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8">
        <v>1</v>
      </c>
      <c r="K81" s="18" t="str">
        <f t="shared" si="1"/>
        <v>43749 MEĐIMURSKO VELEUČILIŠTE U ČAKOVCU</v>
      </c>
      <c r="L81" s="19">
        <v>43749</v>
      </c>
      <c r="M81" s="20" t="s">
        <v>470</v>
      </c>
      <c r="N81" s="20" t="s">
        <v>471</v>
      </c>
      <c r="O81" s="20" t="s">
        <v>472</v>
      </c>
      <c r="P81" s="20" t="s">
        <v>473</v>
      </c>
      <c r="Q81" s="21">
        <v>2382512</v>
      </c>
      <c r="R81" s="22" t="s">
        <v>474</v>
      </c>
      <c r="S81" s="22" t="s">
        <v>19</v>
      </c>
      <c r="T81" s="23" t="s">
        <v>18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8">
        <v>2</v>
      </c>
      <c r="K82" s="18" t="str">
        <f t="shared" si="1"/>
        <v>22427 TEHNIČKO VELEUČILIŠTE U ZAGREBU</v>
      </c>
      <c r="L82" s="19">
        <v>22427</v>
      </c>
      <c r="M82" s="20" t="s">
        <v>475</v>
      </c>
      <c r="N82" s="20" t="s">
        <v>471</v>
      </c>
      <c r="O82" s="20" t="s">
        <v>476</v>
      </c>
      <c r="P82" s="20" t="s">
        <v>368</v>
      </c>
      <c r="Q82" s="21">
        <v>1398270</v>
      </c>
      <c r="R82" s="22" t="s">
        <v>477</v>
      </c>
      <c r="S82" s="22" t="s">
        <v>19</v>
      </c>
      <c r="T82" s="23" t="s">
        <v>18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8">
        <v>3</v>
      </c>
      <c r="K83" s="18" t="str">
        <f t="shared" si="1"/>
        <v>38446 VELEUČILIŠTE LAVOSLAV RUŽIČKA U VUKOVARU</v>
      </c>
      <c r="L83" s="19">
        <v>38446</v>
      </c>
      <c r="M83" s="20" t="s">
        <v>478</v>
      </c>
      <c r="N83" s="20" t="s">
        <v>471</v>
      </c>
      <c r="O83" s="20" t="s">
        <v>479</v>
      </c>
      <c r="P83" s="20" t="s">
        <v>480</v>
      </c>
      <c r="Q83" s="21">
        <v>1970828</v>
      </c>
      <c r="R83" s="22" t="s">
        <v>481</v>
      </c>
      <c r="S83" s="22" t="s">
        <v>19</v>
      </c>
      <c r="T83" s="23" t="s">
        <v>18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8">
        <v>4</v>
      </c>
      <c r="K84" s="18" t="str">
        <f t="shared" si="1"/>
        <v>38438 VELEUČILIŠTE MARKO MARULIĆ U KNINU</v>
      </c>
      <c r="L84" s="19">
        <v>38438</v>
      </c>
      <c r="M84" s="20" t="s">
        <v>482</v>
      </c>
      <c r="N84" s="20" t="s">
        <v>471</v>
      </c>
      <c r="O84" s="50" t="s">
        <v>483</v>
      </c>
      <c r="P84" s="50" t="s">
        <v>484</v>
      </c>
      <c r="Q84" s="21">
        <v>1963813</v>
      </c>
      <c r="R84" s="22" t="s">
        <v>485</v>
      </c>
      <c r="S84" s="22" t="s">
        <v>19</v>
      </c>
      <c r="T84" s="23" t="s">
        <v>18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8">
        <v>5</v>
      </c>
      <c r="K85" s="18" t="str">
        <f t="shared" si="1"/>
        <v>41185 VELEUČILIŠTE NIKOLA TESLA U GOSPIĆU</v>
      </c>
      <c r="L85" s="19">
        <v>41185</v>
      </c>
      <c r="M85" s="20" t="s">
        <v>486</v>
      </c>
      <c r="N85" s="20" t="s">
        <v>471</v>
      </c>
      <c r="O85" s="20" t="s">
        <v>487</v>
      </c>
      <c r="P85" s="20" t="s">
        <v>488</v>
      </c>
      <c r="Q85" s="21">
        <v>2103133</v>
      </c>
      <c r="R85" s="22" t="s">
        <v>489</v>
      </c>
      <c r="S85" s="22" t="s">
        <v>19</v>
      </c>
      <c r="T85" s="23" t="s">
        <v>18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8">
        <v>6</v>
      </c>
      <c r="K86" s="18" t="str">
        <f t="shared" si="1"/>
        <v>21053 VELEUČILIŠTE U KARLOVCU</v>
      </c>
      <c r="L86" s="19">
        <v>21053</v>
      </c>
      <c r="M86" s="20" t="s">
        <v>490</v>
      </c>
      <c r="N86" s="20" t="s">
        <v>471</v>
      </c>
      <c r="O86" s="20" t="s">
        <v>491</v>
      </c>
      <c r="P86" s="20" t="s">
        <v>492</v>
      </c>
      <c r="Q86" s="21">
        <v>1286030</v>
      </c>
      <c r="R86" s="22" t="s">
        <v>493</v>
      </c>
      <c r="S86" s="22" t="s">
        <v>19</v>
      </c>
      <c r="T86" s="23" t="s">
        <v>18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8">
        <v>7</v>
      </c>
      <c r="K87" s="18" t="str">
        <f t="shared" si="1"/>
        <v>22398 VELEUČILIŠTE U POŽEGI</v>
      </c>
      <c r="L87" s="19">
        <v>22398</v>
      </c>
      <c r="M87" s="20" t="s">
        <v>494</v>
      </c>
      <c r="N87" s="20" t="s">
        <v>471</v>
      </c>
      <c r="O87" s="20" t="s">
        <v>495</v>
      </c>
      <c r="P87" s="20" t="s">
        <v>496</v>
      </c>
      <c r="Q87" s="21">
        <v>1395521</v>
      </c>
      <c r="R87" s="22" t="s">
        <v>497</v>
      </c>
      <c r="S87" s="22" t="s">
        <v>19</v>
      </c>
      <c r="T87" s="23" t="s">
        <v>18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8">
        <v>8</v>
      </c>
      <c r="K88" s="18" t="str">
        <f t="shared" si="1"/>
        <v>22494 VELEUČILIŠTE U RIJECI</v>
      </c>
      <c r="L88" s="19">
        <v>22494</v>
      </c>
      <c r="M88" s="20" t="s">
        <v>498</v>
      </c>
      <c r="N88" s="20" t="s">
        <v>471</v>
      </c>
      <c r="O88" s="20" t="s">
        <v>499</v>
      </c>
      <c r="P88" s="20" t="s">
        <v>284</v>
      </c>
      <c r="Q88" s="21">
        <v>1387332</v>
      </c>
      <c r="R88" s="22" t="s">
        <v>500</v>
      </c>
      <c r="S88" s="22" t="s">
        <v>19</v>
      </c>
      <c r="T88" s="23" t="s">
        <v>18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8">
        <v>9</v>
      </c>
      <c r="K89" s="18" t="str">
        <f t="shared" si="1"/>
        <v>41337 VELEUČILIŠTE U SLAVONSKOM BRODU</v>
      </c>
      <c r="L89" s="19">
        <v>41337</v>
      </c>
      <c r="M89" s="20" t="s">
        <v>501</v>
      </c>
      <c r="N89" s="20" t="s">
        <v>471</v>
      </c>
      <c r="O89" s="20" t="s">
        <v>502</v>
      </c>
      <c r="P89" s="20" t="s">
        <v>252</v>
      </c>
      <c r="Q89" s="21">
        <v>2152622</v>
      </c>
      <c r="R89" s="22" t="s">
        <v>503</v>
      </c>
      <c r="S89" s="22" t="s">
        <v>19</v>
      </c>
      <c r="T89" s="23" t="s">
        <v>18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8">
        <v>10</v>
      </c>
      <c r="K90" s="18" t="str">
        <f>L90&amp;" "&amp;M90</f>
        <v>22824 VELEUČILIŠTE U ŠIBENIKU</v>
      </c>
      <c r="L90" s="19">
        <v>22824</v>
      </c>
      <c r="M90" s="20" t="s">
        <v>504</v>
      </c>
      <c r="N90" s="20" t="s">
        <v>471</v>
      </c>
      <c r="O90" s="20" t="s">
        <v>505</v>
      </c>
      <c r="P90" s="20" t="s">
        <v>506</v>
      </c>
      <c r="Q90" s="21">
        <v>2100673</v>
      </c>
      <c r="R90" s="22" t="s">
        <v>507</v>
      </c>
      <c r="S90" s="22" t="s">
        <v>19</v>
      </c>
      <c r="T90" s="23" t="s">
        <v>18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185</v>
      </c>
      <c r="K91" s="18" t="str">
        <f>L91&amp;" "&amp;M91</f>
        <v xml:space="preserve"> VELEUČILIŠTE HRVATSKO ZAGORJE</v>
      </c>
      <c r="M91" s="15" t="s">
        <v>508</v>
      </c>
      <c r="N91" s="20" t="s">
        <v>471</v>
      </c>
      <c r="S91" s="22" t="s">
        <v>19</v>
      </c>
      <c r="T91" s="23" t="s">
        <v>18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8">
        <v>11</v>
      </c>
      <c r="K92" s="18" t="str">
        <f>L92&amp;" "&amp;M92</f>
        <v>42993 VISOKA ŠKOLA ZA MENEDŽMENT U TURIZMU I INFORMATICI</v>
      </c>
      <c r="L92" s="19">
        <v>42993</v>
      </c>
      <c r="M92" s="20" t="s">
        <v>509</v>
      </c>
      <c r="N92" s="20" t="s">
        <v>471</v>
      </c>
      <c r="O92" s="20" t="s">
        <v>510</v>
      </c>
      <c r="P92" s="20" t="s">
        <v>511</v>
      </c>
      <c r="Q92" s="21">
        <v>2282208</v>
      </c>
      <c r="R92" s="22" t="s">
        <v>512</v>
      </c>
      <c r="S92" s="22" t="s">
        <v>19</v>
      </c>
      <c r="T92" s="23" t="s">
        <v>18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8">
        <v>12</v>
      </c>
      <c r="K93" s="18" t="str">
        <f>L93&amp;" "&amp;M93</f>
        <v>22371 VISOKO GOSPODARSKO UČILIŠTE U KRIŽEVCIMA</v>
      </c>
      <c r="L93" s="19">
        <v>22371</v>
      </c>
      <c r="M93" s="20" t="s">
        <v>513</v>
      </c>
      <c r="N93" s="20" t="s">
        <v>471</v>
      </c>
      <c r="O93" s="20" t="s">
        <v>514</v>
      </c>
      <c r="P93" s="20" t="s">
        <v>515</v>
      </c>
      <c r="Q93" s="21">
        <v>1411942</v>
      </c>
      <c r="R93" s="22" t="s">
        <v>516</v>
      </c>
      <c r="S93" s="22" t="s">
        <v>19</v>
      </c>
      <c r="T93" s="23" t="s">
        <v>18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8">
        <v>13</v>
      </c>
      <c r="K94" s="18" t="str">
        <f>L94&amp;" "&amp;M94</f>
        <v>22832 ZDRAVSTVENO VELEUČILIŠTE</v>
      </c>
      <c r="L94" s="19">
        <v>22832</v>
      </c>
      <c r="M94" s="20" t="s">
        <v>517</v>
      </c>
      <c r="N94" s="20" t="s">
        <v>471</v>
      </c>
      <c r="O94" s="20" t="s">
        <v>518</v>
      </c>
      <c r="P94" s="20" t="s">
        <v>368</v>
      </c>
      <c r="Q94" s="21">
        <v>1274597</v>
      </c>
      <c r="R94" s="22" t="s">
        <v>519</v>
      </c>
      <c r="S94" s="22" t="s">
        <v>19</v>
      </c>
      <c r="T94" s="23" t="s">
        <v>18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8">
        <v>1</v>
      </c>
      <c r="K95" s="18" t="str">
        <f t="shared" ref="K95:K129" si="2">L95&amp;" "&amp;M95</f>
        <v>2918 EKONOMSKI INSTITUT ZAGREB</v>
      </c>
      <c r="L95" s="19">
        <v>2918</v>
      </c>
      <c r="M95" s="20" t="s">
        <v>520</v>
      </c>
      <c r="N95" s="20" t="s">
        <v>471</v>
      </c>
      <c r="O95" s="20" t="s">
        <v>521</v>
      </c>
      <c r="P95" s="20" t="s">
        <v>368</v>
      </c>
      <c r="Q95" s="21">
        <v>3219925</v>
      </c>
      <c r="R95" s="22" t="s">
        <v>522</v>
      </c>
      <c r="S95" s="22" t="s">
        <v>523</v>
      </c>
      <c r="T95" s="23" t="s">
        <v>524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8">
        <v>2</v>
      </c>
      <c r="K96" s="18" t="str">
        <f t="shared" si="2"/>
        <v>2934 HRVATSKI INSTITUT ZA POVIJEST</v>
      </c>
      <c r="L96" s="19">
        <v>2934</v>
      </c>
      <c r="M96" s="20" t="s">
        <v>525</v>
      </c>
      <c r="N96" s="20" t="s">
        <v>471</v>
      </c>
      <c r="O96" s="20" t="s">
        <v>526</v>
      </c>
      <c r="P96" s="20" t="s">
        <v>368</v>
      </c>
      <c r="Q96" s="21">
        <v>3207153</v>
      </c>
      <c r="R96" s="22" t="s">
        <v>527</v>
      </c>
      <c r="S96" s="22" t="s">
        <v>523</v>
      </c>
      <c r="T96" s="23" t="s">
        <v>524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8">
        <v>3</v>
      </c>
      <c r="K97" s="18" t="str">
        <f t="shared" si="2"/>
        <v>2983 HRVATSKI VETERINARSKI INSTITUT</v>
      </c>
      <c r="L97" s="19">
        <v>2983</v>
      </c>
      <c r="M97" s="20" t="s">
        <v>528</v>
      </c>
      <c r="N97" s="20" t="s">
        <v>471</v>
      </c>
      <c r="O97" s="20" t="s">
        <v>529</v>
      </c>
      <c r="P97" s="20" t="s">
        <v>368</v>
      </c>
      <c r="Q97" s="21">
        <v>3274098</v>
      </c>
      <c r="R97" s="22" t="s">
        <v>530</v>
      </c>
      <c r="S97" s="22" t="s">
        <v>523</v>
      </c>
      <c r="T97" s="23" t="s">
        <v>524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8">
        <v>4</v>
      </c>
      <c r="K98" s="18" t="str">
        <f t="shared" si="2"/>
        <v>3105 INSTITUT DRUŠTVENIH ZNANOSTI IVO PILAR</v>
      </c>
      <c r="L98" s="19">
        <v>3105</v>
      </c>
      <c r="M98" s="20" t="s">
        <v>531</v>
      </c>
      <c r="N98" s="20" t="s">
        <v>471</v>
      </c>
      <c r="O98" s="20" t="s">
        <v>532</v>
      </c>
      <c r="P98" s="20" t="s">
        <v>368</v>
      </c>
      <c r="Q98" s="21">
        <v>3793028</v>
      </c>
      <c r="R98" s="22" t="s">
        <v>533</v>
      </c>
      <c r="S98" s="22" t="s">
        <v>523</v>
      </c>
      <c r="T98" s="23" t="s">
        <v>524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8">
        <v>5</v>
      </c>
      <c r="K99" s="18" t="str">
        <f t="shared" si="2"/>
        <v>3041 INSTITUT RUĐER BOŠKOVIĆ</v>
      </c>
      <c r="L99" s="19">
        <v>3041</v>
      </c>
      <c r="M99" s="20" t="s">
        <v>534</v>
      </c>
      <c r="N99" s="20" t="s">
        <v>471</v>
      </c>
      <c r="O99" s="20" t="s">
        <v>535</v>
      </c>
      <c r="P99" s="20" t="s">
        <v>368</v>
      </c>
      <c r="Q99" s="21">
        <v>3270289</v>
      </c>
      <c r="R99" s="22" t="s">
        <v>536</v>
      </c>
      <c r="S99" s="22" t="s">
        <v>523</v>
      </c>
      <c r="T99" s="23" t="s">
        <v>524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8">
        <v>6</v>
      </c>
      <c r="K100" s="18" t="str">
        <f t="shared" si="2"/>
        <v>3113 INSTITUT ZA ANTROPOLOGIJU</v>
      </c>
      <c r="L100" s="19">
        <v>3113</v>
      </c>
      <c r="M100" s="20" t="s">
        <v>537</v>
      </c>
      <c r="N100" s="20" t="s">
        <v>471</v>
      </c>
      <c r="O100" s="20" t="s">
        <v>538</v>
      </c>
      <c r="P100" s="20" t="s">
        <v>368</v>
      </c>
      <c r="Q100" s="21">
        <v>3817121</v>
      </c>
      <c r="R100" s="22" t="s">
        <v>539</v>
      </c>
      <c r="S100" s="22" t="s">
        <v>523</v>
      </c>
      <c r="T100" s="23" t="s">
        <v>524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8">
        <v>7</v>
      </c>
      <c r="K101" s="18" t="str">
        <f t="shared" si="2"/>
        <v>3121 INSTITUT ZA ARHEOLOGIJU</v>
      </c>
      <c r="L101" s="19">
        <v>3121</v>
      </c>
      <c r="M101" s="20" t="s">
        <v>540</v>
      </c>
      <c r="N101" s="20" t="s">
        <v>471</v>
      </c>
      <c r="O101" s="20" t="s">
        <v>538</v>
      </c>
      <c r="P101" s="20" t="s">
        <v>368</v>
      </c>
      <c r="Q101" s="21">
        <v>3937658</v>
      </c>
      <c r="R101" s="22" t="s">
        <v>541</v>
      </c>
      <c r="S101" s="22" t="s">
        <v>523</v>
      </c>
      <c r="T101" s="23" t="s">
        <v>524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8">
        <v>8</v>
      </c>
      <c r="K102" s="18" t="str">
        <f t="shared" si="2"/>
        <v>3050 INSTITUT ZA DRUŠTVENA ISTRAŽIVANJA</v>
      </c>
      <c r="L102" s="19">
        <v>3050</v>
      </c>
      <c r="M102" s="20" t="s">
        <v>542</v>
      </c>
      <c r="N102" s="20" t="s">
        <v>471</v>
      </c>
      <c r="O102" s="20" t="s">
        <v>543</v>
      </c>
      <c r="P102" s="20" t="s">
        <v>368</v>
      </c>
      <c r="Q102" s="21">
        <v>3205118</v>
      </c>
      <c r="R102" s="22" t="s">
        <v>544</v>
      </c>
      <c r="S102" s="22" t="s">
        <v>523</v>
      </c>
      <c r="T102" s="23" t="s">
        <v>524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8">
        <v>9</v>
      </c>
      <c r="K103" s="18" t="str">
        <f t="shared" si="2"/>
        <v>3084 INSTITUT ZA ETNOLOGIJU I FOLKLORISTIKU</v>
      </c>
      <c r="L103" s="19">
        <v>3084</v>
      </c>
      <c r="M103" s="20" t="s">
        <v>545</v>
      </c>
      <c r="N103" s="20" t="s">
        <v>471</v>
      </c>
      <c r="O103" s="20" t="s">
        <v>546</v>
      </c>
      <c r="P103" s="20" t="s">
        <v>368</v>
      </c>
      <c r="Q103" s="21">
        <v>3724042</v>
      </c>
      <c r="R103" s="22" t="s">
        <v>547</v>
      </c>
      <c r="S103" s="22" t="s">
        <v>523</v>
      </c>
      <c r="T103" s="23" t="s">
        <v>524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8">
        <v>10</v>
      </c>
      <c r="K104" s="18" t="str">
        <f t="shared" si="2"/>
        <v>3092 INSTITUT ZA FILOZOFIJU</v>
      </c>
      <c r="L104" s="19">
        <v>3092</v>
      </c>
      <c r="M104" s="20" t="s">
        <v>548</v>
      </c>
      <c r="N104" s="20" t="s">
        <v>471</v>
      </c>
      <c r="O104" s="20" t="s">
        <v>549</v>
      </c>
      <c r="P104" s="20" t="s">
        <v>368</v>
      </c>
      <c r="Q104" s="21">
        <v>3772047</v>
      </c>
      <c r="R104" s="22" t="s">
        <v>550</v>
      </c>
      <c r="S104" s="22" t="s">
        <v>523</v>
      </c>
      <c r="T104" s="23" t="s">
        <v>524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8">
        <v>11</v>
      </c>
      <c r="K105" s="18" t="str">
        <f t="shared" si="2"/>
        <v>2975 INSTITUT ZA FIZIKU</v>
      </c>
      <c r="L105" s="19">
        <v>2975</v>
      </c>
      <c r="M105" s="20" t="s">
        <v>551</v>
      </c>
      <c r="N105" s="20" t="s">
        <v>471</v>
      </c>
      <c r="O105" s="20" t="s">
        <v>535</v>
      </c>
      <c r="P105" s="20" t="s">
        <v>368</v>
      </c>
      <c r="Q105" s="21">
        <v>3270424</v>
      </c>
      <c r="R105" s="22" t="s">
        <v>552</v>
      </c>
      <c r="S105" s="22" t="s">
        <v>523</v>
      </c>
      <c r="T105" s="23" t="s">
        <v>524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8">
        <v>12</v>
      </c>
      <c r="K106" s="18" t="str">
        <f t="shared" si="2"/>
        <v xml:space="preserve">22525 HRVATSKI GEOLOŠKI INSTITUT </v>
      </c>
      <c r="L106" s="19">
        <v>22525</v>
      </c>
      <c r="M106" s="20" t="s">
        <v>553</v>
      </c>
      <c r="N106" s="20" t="s">
        <v>471</v>
      </c>
      <c r="O106" s="20" t="s">
        <v>554</v>
      </c>
      <c r="P106" s="20" t="s">
        <v>368</v>
      </c>
      <c r="Q106" s="21">
        <v>3219518</v>
      </c>
      <c r="R106" s="22" t="s">
        <v>555</v>
      </c>
      <c r="S106" s="22" t="s">
        <v>523</v>
      </c>
      <c r="T106" s="23" t="s">
        <v>524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8">
        <v>13</v>
      </c>
      <c r="K107" s="18" t="str">
        <f t="shared" si="2"/>
        <v>21061 INSTITUT ZA HRVATSKI JEZIK I JEZIKOSLOVLJE</v>
      </c>
      <c r="L107" s="19">
        <v>21061</v>
      </c>
      <c r="M107" s="20" t="s">
        <v>556</v>
      </c>
      <c r="N107" s="20" t="s">
        <v>471</v>
      </c>
      <c r="O107" s="20" t="s">
        <v>557</v>
      </c>
      <c r="P107" s="20" t="s">
        <v>368</v>
      </c>
      <c r="Q107" s="21">
        <v>1259571</v>
      </c>
      <c r="R107" s="22" t="s">
        <v>558</v>
      </c>
      <c r="S107" s="22" t="s">
        <v>523</v>
      </c>
      <c r="T107" s="23" t="s">
        <v>524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8">
        <v>14</v>
      </c>
      <c r="K108" s="18" t="str">
        <f t="shared" si="2"/>
        <v>3025 INSTITUT ZA JADRANSKE KULTURE I MELIORACIJU KRŠA</v>
      </c>
      <c r="L108" s="19">
        <v>3025</v>
      </c>
      <c r="M108" s="20" t="s">
        <v>559</v>
      </c>
      <c r="N108" s="20" t="s">
        <v>471</v>
      </c>
      <c r="O108" s="20" t="s">
        <v>560</v>
      </c>
      <c r="P108" s="20" t="s">
        <v>326</v>
      </c>
      <c r="Q108" s="21">
        <v>3140792</v>
      </c>
      <c r="R108" s="22" t="s">
        <v>561</v>
      </c>
      <c r="S108" s="22" t="s">
        <v>523</v>
      </c>
      <c r="T108" s="23" t="s">
        <v>524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8">
        <v>15</v>
      </c>
      <c r="K109" s="18" t="str">
        <f t="shared" si="2"/>
        <v>23286 INSTITUT ZA JAVNE FINANCIJE</v>
      </c>
      <c r="L109" s="19">
        <v>23286</v>
      </c>
      <c r="M109" s="20" t="s">
        <v>562</v>
      </c>
      <c r="N109" s="20" t="s">
        <v>471</v>
      </c>
      <c r="O109" s="20" t="s">
        <v>563</v>
      </c>
      <c r="P109" s="20" t="s">
        <v>368</v>
      </c>
      <c r="Q109" s="21">
        <v>3226344</v>
      </c>
      <c r="R109" s="22" t="s">
        <v>564</v>
      </c>
      <c r="S109" s="22" t="s">
        <v>523</v>
      </c>
      <c r="T109" s="23" t="s">
        <v>524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8">
        <v>16</v>
      </c>
      <c r="K110" s="18" t="str">
        <f t="shared" si="2"/>
        <v>2959 INSTITUT ZA MEDICINSKA ISTRAŽIVANJA I MEDICINU RADA</v>
      </c>
      <c r="L110" s="19">
        <v>2959</v>
      </c>
      <c r="M110" s="20" t="s">
        <v>565</v>
      </c>
      <c r="N110" s="20" t="s">
        <v>471</v>
      </c>
      <c r="O110" s="20" t="s">
        <v>566</v>
      </c>
      <c r="P110" s="20" t="s">
        <v>368</v>
      </c>
      <c r="Q110" s="21">
        <v>3270475</v>
      </c>
      <c r="R110" s="22" t="s">
        <v>567</v>
      </c>
      <c r="S110" s="22" t="s">
        <v>523</v>
      </c>
      <c r="T110" s="23" t="s">
        <v>524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8">
        <v>17</v>
      </c>
      <c r="K111" s="18" t="str">
        <f t="shared" si="2"/>
        <v>22621 INSTITUT ZA RAZVOJ I MEĐUNARODNE ODNOSE</v>
      </c>
      <c r="L111" s="19">
        <v>22621</v>
      </c>
      <c r="M111" s="20" t="s">
        <v>568</v>
      </c>
      <c r="N111" s="20" t="s">
        <v>471</v>
      </c>
      <c r="O111" s="20" t="s">
        <v>569</v>
      </c>
      <c r="P111" s="20" t="s">
        <v>368</v>
      </c>
      <c r="Q111" s="21">
        <v>3205177</v>
      </c>
      <c r="R111" s="22" t="s">
        <v>570</v>
      </c>
      <c r="S111" s="22" t="s">
        <v>523</v>
      </c>
      <c r="T111" s="23" t="s">
        <v>524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8">
        <v>18</v>
      </c>
      <c r="K112" s="18" t="str">
        <f t="shared" si="2"/>
        <v>3009 INSTITUT ZA MIGRACIJE I NARODNOSTI</v>
      </c>
      <c r="L112" s="19">
        <v>3009</v>
      </c>
      <c r="M112" s="20" t="s">
        <v>571</v>
      </c>
      <c r="N112" s="20" t="s">
        <v>471</v>
      </c>
      <c r="O112" s="20" t="s">
        <v>572</v>
      </c>
      <c r="P112" s="20" t="s">
        <v>368</v>
      </c>
      <c r="Q112" s="21">
        <v>3287572</v>
      </c>
      <c r="R112" s="22" t="s">
        <v>573</v>
      </c>
      <c r="S112" s="22" t="s">
        <v>523</v>
      </c>
      <c r="T112" s="23" t="s">
        <v>524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8">
        <v>19</v>
      </c>
      <c r="K113" s="18" t="str">
        <f t="shared" si="2"/>
        <v>2900 INSTITUT ZA OCEANOGRAFIJU I RIBARSTVO</v>
      </c>
      <c r="L113" s="19">
        <v>2900</v>
      </c>
      <c r="M113" s="20" t="s">
        <v>574</v>
      </c>
      <c r="N113" s="20" t="s">
        <v>471</v>
      </c>
      <c r="O113" s="20" t="s">
        <v>575</v>
      </c>
      <c r="P113" s="20" t="s">
        <v>326</v>
      </c>
      <c r="Q113" s="21">
        <v>3118355</v>
      </c>
      <c r="R113" s="22" t="s">
        <v>576</v>
      </c>
      <c r="S113" s="22" t="s">
        <v>523</v>
      </c>
      <c r="T113" s="23" t="s">
        <v>524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8">
        <v>20</v>
      </c>
      <c r="K114" s="18" t="str">
        <f t="shared" si="2"/>
        <v>3076 INSTITUT ZA POLJOPRIVREDU I TURIZAM</v>
      </c>
      <c r="L114" s="19">
        <v>3076</v>
      </c>
      <c r="M114" s="20" t="s">
        <v>577</v>
      </c>
      <c r="N114" s="20" t="s">
        <v>471</v>
      </c>
      <c r="O114" s="20" t="s">
        <v>578</v>
      </c>
      <c r="P114" s="20" t="s">
        <v>579</v>
      </c>
      <c r="Q114" s="21">
        <v>3421031</v>
      </c>
      <c r="R114" s="22" t="s">
        <v>580</v>
      </c>
      <c r="S114" s="22" t="s">
        <v>523</v>
      </c>
      <c r="T114" s="23" t="s">
        <v>524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8">
        <v>21</v>
      </c>
      <c r="K115" s="18" t="str">
        <f t="shared" si="2"/>
        <v>2942 INSTITUT ZA POVIJEST UMJETNOSTI</v>
      </c>
      <c r="L115" s="19">
        <v>2942</v>
      </c>
      <c r="M115" s="20" t="s">
        <v>581</v>
      </c>
      <c r="N115" s="20" t="s">
        <v>471</v>
      </c>
      <c r="O115" s="20" t="s">
        <v>582</v>
      </c>
      <c r="P115" s="20" t="s">
        <v>368</v>
      </c>
      <c r="Q115" s="21">
        <v>1339958</v>
      </c>
      <c r="R115" s="22" t="s">
        <v>583</v>
      </c>
      <c r="S115" s="22" t="s">
        <v>523</v>
      </c>
      <c r="T115" s="23" t="s">
        <v>524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8">
        <v>22</v>
      </c>
      <c r="K116" s="18" t="str">
        <f t="shared" si="2"/>
        <v>3068 INSTITUT ZA TURIZAM</v>
      </c>
      <c r="L116" s="19">
        <v>3068</v>
      </c>
      <c r="M116" s="20" t="s">
        <v>584</v>
      </c>
      <c r="N116" s="20" t="s">
        <v>471</v>
      </c>
      <c r="O116" s="20" t="s">
        <v>585</v>
      </c>
      <c r="P116" s="20" t="s">
        <v>368</v>
      </c>
      <c r="Q116" s="21">
        <v>3208001</v>
      </c>
      <c r="R116" s="22" t="s">
        <v>586</v>
      </c>
      <c r="S116" s="22" t="s">
        <v>523</v>
      </c>
      <c r="T116" s="23" t="s">
        <v>524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8">
        <v>23</v>
      </c>
      <c r="K117" s="18" t="str">
        <f t="shared" si="2"/>
        <v>21070 STAROSLAVENSKI INSTITUT</v>
      </c>
      <c r="L117" s="19">
        <v>21070</v>
      </c>
      <c r="M117" s="20" t="s">
        <v>587</v>
      </c>
      <c r="N117" s="20" t="s">
        <v>471</v>
      </c>
      <c r="O117" s="20" t="s">
        <v>588</v>
      </c>
      <c r="P117" s="20" t="s">
        <v>368</v>
      </c>
      <c r="Q117" s="21">
        <v>1259563</v>
      </c>
      <c r="R117" s="22" t="s">
        <v>589</v>
      </c>
      <c r="S117" s="22" t="s">
        <v>523</v>
      </c>
      <c r="T117" s="23" t="s">
        <v>524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8">
        <v>24</v>
      </c>
      <c r="K118" s="18" t="str">
        <f t="shared" si="2"/>
        <v>2967 HRVATSKI ŠUMARSKI INSTITUT</v>
      </c>
      <c r="L118" s="19">
        <v>2967</v>
      </c>
      <c r="M118" s="20" t="s">
        <v>590</v>
      </c>
      <c r="N118" s="20" t="s">
        <v>471</v>
      </c>
      <c r="O118" s="20" t="s">
        <v>591</v>
      </c>
      <c r="P118" s="20" t="s">
        <v>592</v>
      </c>
      <c r="Q118" s="21">
        <v>3115879</v>
      </c>
      <c r="R118" s="22" t="s">
        <v>593</v>
      </c>
      <c r="S118" s="22" t="s">
        <v>523</v>
      </c>
      <c r="T118" s="23" t="s">
        <v>524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8">
        <v>25</v>
      </c>
      <c r="K119" s="18" t="str">
        <f t="shared" si="2"/>
        <v>2991 Poljoprivredni institut, Osijek</v>
      </c>
      <c r="L119" s="19">
        <v>2991</v>
      </c>
      <c r="M119" s="20" t="s">
        <v>594</v>
      </c>
      <c r="N119" s="20" t="s">
        <v>471</v>
      </c>
      <c r="O119" s="20" t="s">
        <v>572</v>
      </c>
      <c r="P119" s="20" t="s">
        <v>368</v>
      </c>
      <c r="Q119" s="21">
        <v>3287572</v>
      </c>
      <c r="R119" s="22" t="s">
        <v>573</v>
      </c>
      <c r="S119" s="22" t="s">
        <v>523</v>
      </c>
      <c r="T119" s="23" t="s">
        <v>524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51">
        <v>1</v>
      </c>
      <c r="K120" s="51" t="str">
        <f t="shared" si="2"/>
        <v>6179 DRŽAVNI ZAVOD ZA INTELEKTUALNO VLASNIŠTVO</v>
      </c>
      <c r="L120" s="52">
        <v>6179</v>
      </c>
      <c r="M120" s="53" t="s">
        <v>595</v>
      </c>
      <c r="N120" s="53" t="s">
        <v>471</v>
      </c>
      <c r="O120" s="53" t="s">
        <v>596</v>
      </c>
      <c r="P120" s="53" t="s">
        <v>368</v>
      </c>
      <c r="Q120" s="54">
        <v>3899772</v>
      </c>
      <c r="R120" s="55" t="s">
        <v>597</v>
      </c>
      <c r="S120" s="55" t="s">
        <v>598</v>
      </c>
      <c r="T120" s="56" t="s">
        <v>219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51">
        <v>2</v>
      </c>
      <c r="K121" s="51" t="str">
        <f t="shared" si="2"/>
        <v>21836 NACIONALNA I SVEUČILIŠNA KNJIŽNICA U ZAGREBU</v>
      </c>
      <c r="L121" s="52">
        <v>21836</v>
      </c>
      <c r="M121" s="53" t="s">
        <v>599</v>
      </c>
      <c r="N121" s="53" t="s">
        <v>471</v>
      </c>
      <c r="O121" s="57" t="s">
        <v>600</v>
      </c>
      <c r="P121" s="53" t="s">
        <v>368</v>
      </c>
      <c r="Q121" s="54">
        <v>3205363</v>
      </c>
      <c r="R121" s="55" t="s">
        <v>601</v>
      </c>
      <c r="S121" s="55" t="s">
        <v>598</v>
      </c>
      <c r="T121" s="58" t="s">
        <v>219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51">
        <v>3</v>
      </c>
      <c r="K122" s="51" t="str">
        <f t="shared" si="2"/>
        <v>21852 HRVATSKA AKADEMSKA I ISTRAŽIVAČKA MREŽA - CARNET</v>
      </c>
      <c r="L122" s="52">
        <v>21852</v>
      </c>
      <c r="M122" s="53" t="s">
        <v>602</v>
      </c>
      <c r="N122" s="53" t="s">
        <v>471</v>
      </c>
      <c r="O122" s="57" t="s">
        <v>603</v>
      </c>
      <c r="P122" s="53" t="s">
        <v>368</v>
      </c>
      <c r="Q122" s="54">
        <v>1147820</v>
      </c>
      <c r="R122" s="55" t="s">
        <v>604</v>
      </c>
      <c r="S122" s="55" t="s">
        <v>598</v>
      </c>
      <c r="T122" s="58" t="s">
        <v>219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51">
        <v>4</v>
      </c>
      <c r="K123" s="51" t="str">
        <f t="shared" si="2"/>
        <v>21869 LEKSIKOGRAFSKI ZAVOD MIROSLAV KRLEŽA</v>
      </c>
      <c r="L123" s="52">
        <v>21869</v>
      </c>
      <c r="M123" s="53" t="s">
        <v>605</v>
      </c>
      <c r="N123" s="53" t="s">
        <v>471</v>
      </c>
      <c r="O123" s="57" t="s">
        <v>606</v>
      </c>
      <c r="P123" s="53" t="s">
        <v>368</v>
      </c>
      <c r="Q123" s="54">
        <v>3211622</v>
      </c>
      <c r="R123" s="55" t="s">
        <v>607</v>
      </c>
      <c r="S123" s="55" t="s">
        <v>598</v>
      </c>
      <c r="T123" s="58" t="s">
        <v>219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51">
        <v>5</v>
      </c>
      <c r="K124" s="51" t="str">
        <f t="shared" si="2"/>
        <v>23665 SVEUČILIŠTE U ZAGREBU - SVEUČILIŠNI RAČUNSKI CENTAR - SRCE</v>
      </c>
      <c r="L124" s="52">
        <v>23665</v>
      </c>
      <c r="M124" s="53" t="s">
        <v>608</v>
      </c>
      <c r="N124" s="53" t="s">
        <v>471</v>
      </c>
      <c r="O124" s="57" t="s">
        <v>603</v>
      </c>
      <c r="P124" s="53" t="s">
        <v>368</v>
      </c>
      <c r="Q124" s="54">
        <v>3283020</v>
      </c>
      <c r="R124" s="55" t="s">
        <v>609</v>
      </c>
      <c r="S124" s="55" t="s">
        <v>598</v>
      </c>
      <c r="T124" s="58" t="s">
        <v>219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51">
        <v>6</v>
      </c>
      <c r="K125" s="51" t="str">
        <f t="shared" si="2"/>
        <v>23962 AGENCIJA ZA ODGOJ I OBRAZOVANJE</v>
      </c>
      <c r="L125" s="52">
        <v>23962</v>
      </c>
      <c r="M125" s="53" t="s">
        <v>610</v>
      </c>
      <c r="N125" s="53" t="s">
        <v>471</v>
      </c>
      <c r="O125" s="53" t="s">
        <v>611</v>
      </c>
      <c r="P125" s="53" t="s">
        <v>368</v>
      </c>
      <c r="Q125" s="54">
        <v>1778129</v>
      </c>
      <c r="R125" s="55" t="s">
        <v>612</v>
      </c>
      <c r="S125" s="55" t="s">
        <v>598</v>
      </c>
      <c r="T125" s="58" t="s">
        <v>219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51">
        <v>7</v>
      </c>
      <c r="K126" s="51" t="str">
        <f t="shared" si="2"/>
        <v>38487 AGENCIJA ZA ZNANOST I VISOKO OBRAZOVANJE</v>
      </c>
      <c r="L126" s="52">
        <v>38487</v>
      </c>
      <c r="M126" s="53" t="s">
        <v>613</v>
      </c>
      <c r="N126" s="53" t="s">
        <v>471</v>
      </c>
      <c r="O126" s="57" t="s">
        <v>614</v>
      </c>
      <c r="P126" s="53" t="s">
        <v>368</v>
      </c>
      <c r="Q126" s="54">
        <v>1922548</v>
      </c>
      <c r="R126" s="55" t="s">
        <v>615</v>
      </c>
      <c r="S126" s="55" t="s">
        <v>598</v>
      </c>
      <c r="T126" s="58" t="s">
        <v>219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51">
        <v>8</v>
      </c>
      <c r="K127" s="51" t="str">
        <f t="shared" si="2"/>
        <v>40883 NACIONALNI CENTAR ZA VANJSKO VREDNOVANJE OBRAZOVANJA</v>
      </c>
      <c r="L127" s="52">
        <v>40883</v>
      </c>
      <c r="M127" s="53" t="s">
        <v>616</v>
      </c>
      <c r="N127" s="53" t="s">
        <v>471</v>
      </c>
      <c r="O127" s="57" t="s">
        <v>617</v>
      </c>
      <c r="P127" s="53" t="s">
        <v>368</v>
      </c>
      <c r="Q127" s="54">
        <v>1943430</v>
      </c>
      <c r="R127" s="55" t="s">
        <v>618</v>
      </c>
      <c r="S127" s="55" t="s">
        <v>598</v>
      </c>
      <c r="T127" s="58" t="s">
        <v>219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51">
        <v>9</v>
      </c>
      <c r="K128" s="51" t="str">
        <f t="shared" si="2"/>
        <v>43335 AGENCIJA ZA MOBILNOST I PROGRAME EUROPSKE UNIJE</v>
      </c>
      <c r="L128" s="52">
        <v>43335</v>
      </c>
      <c r="M128" s="53" t="s">
        <v>619</v>
      </c>
      <c r="N128" s="53" t="s">
        <v>471</v>
      </c>
      <c r="O128" s="57" t="s">
        <v>606</v>
      </c>
      <c r="P128" s="53" t="s">
        <v>368</v>
      </c>
      <c r="Q128" s="54">
        <v>2298007</v>
      </c>
      <c r="R128" s="55" t="s">
        <v>620</v>
      </c>
      <c r="S128" s="55" t="s">
        <v>598</v>
      </c>
      <c r="T128" s="58" t="s">
        <v>219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51">
        <v>10</v>
      </c>
      <c r="K129" s="51" t="str">
        <f t="shared" si="2"/>
        <v>46173 AGENCIJA ZA STRUKOVNO OBRAZOVANJE I OBRAZOVANJE ODRASLIH</v>
      </c>
      <c r="L129" s="52">
        <v>46173</v>
      </c>
      <c r="M129" s="53" t="s">
        <v>621</v>
      </c>
      <c r="N129" s="53" t="s">
        <v>471</v>
      </c>
      <c r="O129" s="57" t="s">
        <v>622</v>
      </c>
      <c r="P129" s="53" t="s">
        <v>368</v>
      </c>
      <c r="Q129" s="54">
        <v>2650029</v>
      </c>
      <c r="R129" s="55" t="s">
        <v>623</v>
      </c>
      <c r="S129" s="55" t="s">
        <v>598</v>
      </c>
      <c r="T129" s="58" t="s">
        <v>219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5" t="s">
        <v>778</v>
      </c>
    </row>
    <row r="992" spans="1:27"/>
    <row r="993"/>
    <row r="994"/>
    <row r="995"/>
    <row r="996"/>
  </sheetData>
  <mergeCells count="7"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opLeftCell="A383" zoomScale="136" zoomScaleNormal="136" workbookViewId="0">
      <selection activeCell="K398" sqref="K398:K399"/>
    </sheetView>
  </sheetViews>
  <sheetFormatPr defaultRowHeight="12.75"/>
  <cols>
    <col min="1" max="1" width="10" style="206" customWidth="1"/>
    <col min="2" max="2" width="8.42578125" style="205" customWidth="1"/>
    <col min="3" max="3" width="24.42578125" style="192" customWidth="1"/>
    <col min="4" max="4" width="10.42578125" style="212" customWidth="1"/>
    <col min="5" max="5" width="33.28515625" style="217" customWidth="1"/>
    <col min="6" max="6" width="10" style="190" customWidth="1"/>
    <col min="7" max="7" width="16.140625" style="150" customWidth="1"/>
    <col min="8" max="8" width="15.140625" style="467" customWidth="1"/>
    <col min="9" max="9" width="15.28515625" style="148" customWidth="1"/>
    <col min="10" max="10" width="10.42578125" style="148" bestFit="1" customWidth="1"/>
    <col min="11" max="11" width="17" style="148" customWidth="1"/>
    <col min="12" max="16384" width="9.140625" style="148"/>
  </cols>
  <sheetData>
    <row r="1" spans="1:9">
      <c r="A1" s="520" t="s">
        <v>214</v>
      </c>
      <c r="B1" s="520"/>
      <c r="C1" s="520"/>
      <c r="D1" s="520"/>
      <c r="E1" s="520"/>
      <c r="F1" s="520"/>
      <c r="G1" s="520"/>
    </row>
    <row r="2" spans="1:9">
      <c r="A2" s="239"/>
      <c r="B2" s="219"/>
      <c r="C2" s="220"/>
      <c r="D2" s="221"/>
      <c r="E2" s="222"/>
      <c r="F2" s="223"/>
      <c r="G2" s="149"/>
    </row>
    <row r="3" spans="1:9">
      <c r="A3" s="239"/>
      <c r="B3" s="219"/>
      <c r="C3" s="220"/>
      <c r="D3" s="221"/>
      <c r="E3" s="222"/>
      <c r="F3" s="223"/>
      <c r="G3" s="149"/>
    </row>
    <row r="4" spans="1:9" ht="15.75">
      <c r="A4" s="519" t="s">
        <v>733</v>
      </c>
      <c r="B4" s="519"/>
      <c r="C4" s="519"/>
      <c r="D4" s="519"/>
      <c r="E4" s="519"/>
      <c r="F4" s="519"/>
      <c r="G4" s="519"/>
    </row>
    <row r="5" spans="1:9" ht="16.5" thickBot="1">
      <c r="A5" s="244"/>
      <c r="B5" s="244"/>
      <c r="C5" s="244"/>
      <c r="D5" s="244"/>
      <c r="E5" s="244"/>
      <c r="F5" s="244"/>
      <c r="G5" s="244"/>
    </row>
    <row r="6" spans="1:9" ht="26.25" thickBot="1">
      <c r="A6" s="228" t="s">
        <v>729</v>
      </c>
      <c r="B6" s="229" t="s">
        <v>730</v>
      </c>
      <c r="C6" s="230" t="s">
        <v>215</v>
      </c>
      <c r="D6" s="229" t="s">
        <v>107</v>
      </c>
      <c r="E6" s="229" t="s">
        <v>731</v>
      </c>
      <c r="F6" s="231" t="s">
        <v>732</v>
      </c>
      <c r="G6" s="232" t="s">
        <v>734</v>
      </c>
      <c r="H6" s="468" t="s">
        <v>727</v>
      </c>
      <c r="I6" s="238" t="s">
        <v>728</v>
      </c>
    </row>
    <row r="7" spans="1:9">
      <c r="A7" s="245" t="s">
        <v>50</v>
      </c>
      <c r="B7" s="224">
        <v>11</v>
      </c>
      <c r="C7" s="225" t="s">
        <v>20</v>
      </c>
      <c r="D7" s="226">
        <v>3111</v>
      </c>
      <c r="E7" s="227" t="s">
        <v>51</v>
      </c>
      <c r="F7" s="218" t="s">
        <v>697</v>
      </c>
      <c r="G7" s="233">
        <v>13189812</v>
      </c>
      <c r="H7" s="469">
        <v>11747950.220000001</v>
      </c>
      <c r="I7" s="464">
        <v>14250000</v>
      </c>
    </row>
    <row r="8" spans="1:9">
      <c r="A8" s="246" t="s">
        <v>50</v>
      </c>
      <c r="B8" s="201">
        <v>11</v>
      </c>
      <c r="C8" s="191" t="s">
        <v>20</v>
      </c>
      <c r="D8" s="207">
        <v>3121</v>
      </c>
      <c r="E8" s="213" t="s">
        <v>52</v>
      </c>
      <c r="F8" s="189" t="s">
        <v>697</v>
      </c>
      <c r="G8" s="234">
        <v>361450</v>
      </c>
      <c r="H8" s="470">
        <f>78890.67+13271.03+11005.66+129000+1663</f>
        <v>233830.36</v>
      </c>
      <c r="I8" s="465">
        <v>411500</v>
      </c>
    </row>
    <row r="9" spans="1:9" ht="25.5">
      <c r="A9" s="246" t="s">
        <v>50</v>
      </c>
      <c r="B9" s="201">
        <v>11</v>
      </c>
      <c r="C9" s="191" t="s">
        <v>20</v>
      </c>
      <c r="D9" s="207">
        <v>3132</v>
      </c>
      <c r="E9" s="213" t="s">
        <v>53</v>
      </c>
      <c r="F9" s="189" t="s">
        <v>697</v>
      </c>
      <c r="G9" s="234">
        <v>2084327</v>
      </c>
      <c r="H9" s="470">
        <f>1934444.2</f>
        <v>1934444.2</v>
      </c>
      <c r="I9" s="465">
        <v>2348000</v>
      </c>
    </row>
    <row r="10" spans="1:9" ht="25.5">
      <c r="A10" s="246" t="s">
        <v>50</v>
      </c>
      <c r="B10" s="201">
        <v>11</v>
      </c>
      <c r="C10" s="191" t="s">
        <v>20</v>
      </c>
      <c r="D10" s="207">
        <v>3212</v>
      </c>
      <c r="E10" s="213" t="s">
        <v>54</v>
      </c>
      <c r="F10" s="189" t="s">
        <v>697</v>
      </c>
      <c r="G10" s="234">
        <v>194300</v>
      </c>
      <c r="H10" s="470">
        <v>138557.92000000001</v>
      </c>
      <c r="I10" s="465">
        <v>169000</v>
      </c>
    </row>
    <row r="11" spans="1:9">
      <c r="A11" s="246" t="s">
        <v>50</v>
      </c>
      <c r="B11" s="201">
        <v>11</v>
      </c>
      <c r="C11" s="191" t="s">
        <v>20</v>
      </c>
      <c r="D11" s="207">
        <v>3236</v>
      </c>
      <c r="E11" s="213" t="s">
        <v>55</v>
      </c>
      <c r="F11" s="189" t="s">
        <v>697</v>
      </c>
      <c r="G11" s="234">
        <v>16000</v>
      </c>
      <c r="H11" s="470">
        <v>16000</v>
      </c>
      <c r="I11" s="465">
        <v>16000</v>
      </c>
    </row>
    <row r="12" spans="1:9">
      <c r="A12" s="246" t="s">
        <v>50</v>
      </c>
      <c r="B12" s="201">
        <v>11</v>
      </c>
      <c r="C12" s="191" t="s">
        <v>20</v>
      </c>
      <c r="D12" s="207">
        <v>3295</v>
      </c>
      <c r="E12" s="213" t="s">
        <v>56</v>
      </c>
      <c r="F12" s="189" t="s">
        <v>697</v>
      </c>
      <c r="G12" s="234"/>
      <c r="H12" s="470"/>
      <c r="I12" s="465"/>
    </row>
    <row r="13" spans="1:9">
      <c r="A13" s="246" t="s">
        <v>50</v>
      </c>
      <c r="B13" s="201">
        <v>11</v>
      </c>
      <c r="C13" s="191" t="s">
        <v>20</v>
      </c>
      <c r="D13" s="207">
        <v>3299</v>
      </c>
      <c r="E13" s="213" t="s">
        <v>58</v>
      </c>
      <c r="F13" s="189" t="s">
        <v>697</v>
      </c>
      <c r="G13" s="234"/>
      <c r="H13" s="470"/>
      <c r="I13" s="465"/>
    </row>
    <row r="14" spans="1:9">
      <c r="A14" s="247" t="s">
        <v>50</v>
      </c>
      <c r="B14" s="202">
        <v>11</v>
      </c>
      <c r="C14" s="193" t="s">
        <v>20</v>
      </c>
      <c r="D14" s="208"/>
      <c r="E14" s="214" t="s">
        <v>171</v>
      </c>
      <c r="F14" s="194" t="s">
        <v>697</v>
      </c>
      <c r="G14" s="235">
        <f>SUM(G7:G13)</f>
        <v>15845889</v>
      </c>
      <c r="H14" s="235">
        <f>SUM(H7:H13)</f>
        <v>14070782.699999999</v>
      </c>
      <c r="I14" s="235">
        <f>SUM(I7:I13)</f>
        <v>17194500</v>
      </c>
    </row>
    <row r="15" spans="1:9">
      <c r="A15" s="246" t="s">
        <v>50</v>
      </c>
      <c r="B15" s="201">
        <v>11</v>
      </c>
      <c r="C15" s="191" t="s">
        <v>20</v>
      </c>
      <c r="D15" s="207">
        <v>3111</v>
      </c>
      <c r="E15" s="213" t="s">
        <v>51</v>
      </c>
      <c r="F15" s="189" t="s">
        <v>698</v>
      </c>
      <c r="G15" s="234">
        <v>120000</v>
      </c>
      <c r="H15" s="470">
        <v>11405.79</v>
      </c>
      <c r="I15" s="465">
        <v>11500</v>
      </c>
    </row>
    <row r="16" spans="1:9">
      <c r="A16" s="246" t="s">
        <v>50</v>
      </c>
      <c r="B16" s="201">
        <v>11</v>
      </c>
      <c r="C16" s="191" t="s">
        <v>20</v>
      </c>
      <c r="D16" s="207">
        <v>3121</v>
      </c>
      <c r="E16" s="213" t="s">
        <v>52</v>
      </c>
      <c r="F16" s="189" t="s">
        <v>698</v>
      </c>
      <c r="G16" s="234"/>
      <c r="H16" s="470"/>
      <c r="I16" s="465">
        <v>2000</v>
      </c>
    </row>
    <row r="17" spans="1:9" ht="25.5">
      <c r="A17" s="246" t="s">
        <v>50</v>
      </c>
      <c r="B17" s="201">
        <v>11</v>
      </c>
      <c r="C17" s="191" t="s">
        <v>20</v>
      </c>
      <c r="D17" s="207">
        <v>3132</v>
      </c>
      <c r="E17" s="213" t="s">
        <v>53</v>
      </c>
      <c r="F17" s="189" t="s">
        <v>698</v>
      </c>
      <c r="G17" s="234">
        <v>20000</v>
      </c>
      <c r="H17" s="470">
        <v>1881.96</v>
      </c>
      <c r="I17" s="465">
        <v>2000</v>
      </c>
    </row>
    <row r="18" spans="1:9">
      <c r="A18" s="246" t="s">
        <v>50</v>
      </c>
      <c r="B18" s="201">
        <v>11</v>
      </c>
      <c r="C18" s="191" t="s">
        <v>20</v>
      </c>
      <c r="D18" s="207">
        <v>3211</v>
      </c>
      <c r="E18" s="213" t="s">
        <v>61</v>
      </c>
      <c r="F18" s="189" t="s">
        <v>698</v>
      </c>
      <c r="G18" s="234">
        <v>44858</v>
      </c>
      <c r="H18" s="470">
        <f>5611.38+75923.36+9203.73+6150.32</f>
        <v>96888.790000000008</v>
      </c>
      <c r="I18" s="465"/>
    </row>
    <row r="19" spans="1:9">
      <c r="A19" s="246" t="s">
        <v>50</v>
      </c>
      <c r="B19" s="201">
        <v>11</v>
      </c>
      <c r="C19" s="191" t="s">
        <v>20</v>
      </c>
      <c r="D19" s="207">
        <v>3213</v>
      </c>
      <c r="E19" s="213" t="s">
        <v>65</v>
      </c>
      <c r="F19" s="189" t="s">
        <v>698</v>
      </c>
      <c r="G19" s="234">
        <v>16000</v>
      </c>
      <c r="H19" s="470">
        <v>875</v>
      </c>
      <c r="I19" s="465">
        <v>1000</v>
      </c>
    </row>
    <row r="20" spans="1:9">
      <c r="A20" s="246" t="s">
        <v>50</v>
      </c>
      <c r="B20" s="201">
        <v>11</v>
      </c>
      <c r="C20" s="191" t="s">
        <v>20</v>
      </c>
      <c r="D20" s="207">
        <v>3214</v>
      </c>
      <c r="E20" s="213" t="s">
        <v>76</v>
      </c>
      <c r="F20" s="189" t="s">
        <v>699</v>
      </c>
      <c r="G20" s="234"/>
      <c r="H20" s="470"/>
      <c r="I20" s="465"/>
    </row>
    <row r="21" spans="1:9" ht="25.5">
      <c r="A21" s="246" t="s">
        <v>50</v>
      </c>
      <c r="B21" s="201">
        <v>11</v>
      </c>
      <c r="C21" s="191" t="s">
        <v>20</v>
      </c>
      <c r="D21" s="207">
        <v>3221</v>
      </c>
      <c r="E21" s="213" t="s">
        <v>66</v>
      </c>
      <c r="F21" s="189" t="s">
        <v>698</v>
      </c>
      <c r="G21" s="234">
        <v>91000</v>
      </c>
      <c r="H21" s="470"/>
      <c r="I21" s="465">
        <v>98000</v>
      </c>
    </row>
    <row r="22" spans="1:9">
      <c r="A22" s="246" t="s">
        <v>50</v>
      </c>
      <c r="B22" s="201">
        <v>11</v>
      </c>
      <c r="C22" s="191" t="s">
        <v>20</v>
      </c>
      <c r="D22" s="207">
        <v>3222</v>
      </c>
      <c r="E22" s="213" t="s">
        <v>77</v>
      </c>
      <c r="F22" s="189" t="s">
        <v>698</v>
      </c>
      <c r="G22" s="234"/>
      <c r="H22" s="470"/>
      <c r="I22" s="465"/>
    </row>
    <row r="23" spans="1:9">
      <c r="A23" s="246" t="s">
        <v>50</v>
      </c>
      <c r="B23" s="201">
        <v>11</v>
      </c>
      <c r="C23" s="191" t="s">
        <v>20</v>
      </c>
      <c r="D23" s="207">
        <v>3223</v>
      </c>
      <c r="E23" s="213" t="s">
        <v>78</v>
      </c>
      <c r="F23" s="189" t="s">
        <v>698</v>
      </c>
      <c r="G23" s="234">
        <v>237701</v>
      </c>
      <c r="H23" s="470">
        <f>51028.02+159450.74</f>
        <v>210478.75999999998</v>
      </c>
      <c r="I23" s="465">
        <v>211500</v>
      </c>
    </row>
    <row r="24" spans="1:9" ht="25.5">
      <c r="A24" s="246" t="s">
        <v>50</v>
      </c>
      <c r="B24" s="201">
        <v>11</v>
      </c>
      <c r="C24" s="191" t="s">
        <v>20</v>
      </c>
      <c r="D24" s="207">
        <v>3224</v>
      </c>
      <c r="E24" s="213" t="s">
        <v>62</v>
      </c>
      <c r="F24" s="189" t="s">
        <v>698</v>
      </c>
      <c r="G24" s="234">
        <v>20000</v>
      </c>
      <c r="H24" s="470">
        <v>16103.61</v>
      </c>
      <c r="I24" s="465">
        <v>16500</v>
      </c>
    </row>
    <row r="25" spans="1:9">
      <c r="A25" s="246" t="s">
        <v>50</v>
      </c>
      <c r="B25" s="201">
        <v>11</v>
      </c>
      <c r="C25" s="191" t="s">
        <v>20</v>
      </c>
      <c r="D25" s="207">
        <v>3225</v>
      </c>
      <c r="E25" s="213" t="s">
        <v>79</v>
      </c>
      <c r="F25" s="189" t="s">
        <v>698</v>
      </c>
      <c r="G25" s="234"/>
      <c r="H25" s="470">
        <v>5285.08</v>
      </c>
      <c r="I25" s="465">
        <v>5500</v>
      </c>
    </row>
    <row r="26" spans="1:9" ht="25.5">
      <c r="A26" s="246" t="s">
        <v>50</v>
      </c>
      <c r="B26" s="201">
        <v>11</v>
      </c>
      <c r="C26" s="191" t="s">
        <v>20</v>
      </c>
      <c r="D26" s="207">
        <v>3227</v>
      </c>
      <c r="E26" s="213" t="s">
        <v>90</v>
      </c>
      <c r="F26" s="189" t="s">
        <v>698</v>
      </c>
      <c r="G26" s="234"/>
      <c r="H26" s="470">
        <v>1650</v>
      </c>
      <c r="I26" s="465">
        <v>2000</v>
      </c>
    </row>
    <row r="27" spans="1:9">
      <c r="A27" s="246" t="s">
        <v>50</v>
      </c>
      <c r="B27" s="201">
        <v>11</v>
      </c>
      <c r="C27" s="191" t="s">
        <v>20</v>
      </c>
      <c r="D27" s="207">
        <v>3231</v>
      </c>
      <c r="E27" s="213" t="s">
        <v>80</v>
      </c>
      <c r="F27" s="189" t="s">
        <v>698</v>
      </c>
      <c r="G27" s="234">
        <v>60000</v>
      </c>
      <c r="H27" s="470">
        <f>27615.22+5228.26</f>
        <v>32843.480000000003</v>
      </c>
      <c r="I27" s="465">
        <v>33500</v>
      </c>
    </row>
    <row r="28" spans="1:9" ht="25.5">
      <c r="A28" s="246" t="s">
        <v>50</v>
      </c>
      <c r="B28" s="201">
        <v>11</v>
      </c>
      <c r="C28" s="191" t="s">
        <v>20</v>
      </c>
      <c r="D28" s="207">
        <v>3232</v>
      </c>
      <c r="E28" s="213" t="s">
        <v>81</v>
      </c>
      <c r="F28" s="189" t="s">
        <v>698</v>
      </c>
      <c r="G28" s="234">
        <v>73000</v>
      </c>
      <c r="H28" s="470">
        <v>6705.44</v>
      </c>
      <c r="I28" s="465">
        <v>7000</v>
      </c>
    </row>
    <row r="29" spans="1:9">
      <c r="A29" s="246" t="s">
        <v>50</v>
      </c>
      <c r="B29" s="201">
        <v>11</v>
      </c>
      <c r="C29" s="191" t="s">
        <v>20</v>
      </c>
      <c r="D29" s="207">
        <v>3233</v>
      </c>
      <c r="E29" s="213" t="s">
        <v>82</v>
      </c>
      <c r="F29" s="189" t="s">
        <v>698</v>
      </c>
      <c r="G29" s="234"/>
      <c r="H29" s="470"/>
      <c r="I29" s="465"/>
    </row>
    <row r="30" spans="1:9">
      <c r="A30" s="246" t="s">
        <v>50</v>
      </c>
      <c r="B30" s="201">
        <v>11</v>
      </c>
      <c r="C30" s="191" t="s">
        <v>20</v>
      </c>
      <c r="D30" s="207">
        <v>3234</v>
      </c>
      <c r="E30" s="213" t="s">
        <v>88</v>
      </c>
      <c r="F30" s="189" t="s">
        <v>698</v>
      </c>
      <c r="G30" s="234">
        <v>38000</v>
      </c>
      <c r="H30" s="470">
        <f>3380.4+3642.16</f>
        <v>7022.5599999999995</v>
      </c>
      <c r="I30" s="465">
        <v>7500</v>
      </c>
    </row>
    <row r="31" spans="1:9">
      <c r="A31" s="246" t="s">
        <v>50</v>
      </c>
      <c r="B31" s="201">
        <v>11</v>
      </c>
      <c r="C31" s="191" t="s">
        <v>20</v>
      </c>
      <c r="D31" s="207">
        <v>3235</v>
      </c>
      <c r="E31" s="213" t="s">
        <v>89</v>
      </c>
      <c r="F31" s="189" t="s">
        <v>698</v>
      </c>
      <c r="G31" s="234">
        <v>190000</v>
      </c>
      <c r="H31" s="470">
        <f>91575+28822.23</f>
        <v>120397.23</v>
      </c>
      <c r="I31" s="465">
        <v>211500</v>
      </c>
    </row>
    <row r="32" spans="1:9">
      <c r="A32" s="246" t="s">
        <v>50</v>
      </c>
      <c r="B32" s="201">
        <v>11</v>
      </c>
      <c r="C32" s="191" t="s">
        <v>20</v>
      </c>
      <c r="D32" s="207">
        <v>3236</v>
      </c>
      <c r="E32" s="213" t="s">
        <v>55</v>
      </c>
      <c r="F32" s="189" t="s">
        <v>698</v>
      </c>
      <c r="G32" s="234"/>
      <c r="H32" s="470"/>
      <c r="I32" s="465"/>
    </row>
    <row r="33" spans="1:9">
      <c r="A33" s="246" t="s">
        <v>50</v>
      </c>
      <c r="B33" s="201">
        <v>11</v>
      </c>
      <c r="C33" s="191" t="s">
        <v>20</v>
      </c>
      <c r="D33" s="207">
        <v>3237</v>
      </c>
      <c r="E33" s="213" t="s">
        <v>63</v>
      </c>
      <c r="F33" s="189" t="s">
        <v>698</v>
      </c>
      <c r="G33" s="234">
        <v>200000</v>
      </c>
      <c r="H33" s="470">
        <f>17373.31+84829.41+24405.46+122408.77+17676.96+14520.42-3800</f>
        <v>277414.33</v>
      </c>
      <c r="I33" s="465">
        <v>308700</v>
      </c>
    </row>
    <row r="34" spans="1:9">
      <c r="A34" s="246" t="s">
        <v>50</v>
      </c>
      <c r="B34" s="201">
        <v>11</v>
      </c>
      <c r="C34" s="191" t="s">
        <v>20</v>
      </c>
      <c r="D34" s="207">
        <v>3238</v>
      </c>
      <c r="E34" s="213" t="s">
        <v>83</v>
      </c>
      <c r="F34" s="189" t="s">
        <v>698</v>
      </c>
      <c r="G34" s="234">
        <v>35000</v>
      </c>
      <c r="H34" s="470">
        <v>3646.7</v>
      </c>
      <c r="I34" s="465">
        <v>4000</v>
      </c>
    </row>
    <row r="35" spans="1:9">
      <c r="A35" s="246" t="s">
        <v>50</v>
      </c>
      <c r="B35" s="201">
        <v>11</v>
      </c>
      <c r="C35" s="191" t="s">
        <v>20</v>
      </c>
      <c r="D35" s="207">
        <v>3239</v>
      </c>
      <c r="E35" s="213" t="s">
        <v>67</v>
      </c>
      <c r="F35" s="189" t="s">
        <v>698</v>
      </c>
      <c r="G35" s="234">
        <v>24000</v>
      </c>
      <c r="H35" s="470">
        <f>16100+7952.09</f>
        <v>24052.09</v>
      </c>
      <c r="I35" s="465">
        <v>32300</v>
      </c>
    </row>
    <row r="36" spans="1:9" ht="25.5">
      <c r="A36" s="246" t="s">
        <v>50</v>
      </c>
      <c r="B36" s="201">
        <v>11</v>
      </c>
      <c r="C36" s="191" t="s">
        <v>20</v>
      </c>
      <c r="D36" s="207">
        <v>3241</v>
      </c>
      <c r="E36" s="213" t="s">
        <v>68</v>
      </c>
      <c r="F36" s="189" t="s">
        <v>698</v>
      </c>
      <c r="G36" s="234">
        <v>65000</v>
      </c>
      <c r="H36" s="470">
        <f>4158.45+244+1132</f>
        <v>5534.45</v>
      </c>
      <c r="I36" s="465">
        <v>11500</v>
      </c>
    </row>
    <row r="37" spans="1:9">
      <c r="A37" s="246" t="s">
        <v>50</v>
      </c>
      <c r="B37" s="201">
        <v>11</v>
      </c>
      <c r="C37" s="191" t="s">
        <v>20</v>
      </c>
      <c r="D37" s="207">
        <v>3292</v>
      </c>
      <c r="E37" s="213" t="s">
        <v>60</v>
      </c>
      <c r="F37" s="189" t="s">
        <v>698</v>
      </c>
      <c r="G37" s="234">
        <v>12000</v>
      </c>
      <c r="H37" s="470">
        <v>7588.94</v>
      </c>
      <c r="I37" s="465">
        <v>8000</v>
      </c>
    </row>
    <row r="38" spans="1:9">
      <c r="A38" s="246" t="s">
        <v>50</v>
      </c>
      <c r="B38" s="201">
        <v>11</v>
      </c>
      <c r="C38" s="191" t="s">
        <v>20</v>
      </c>
      <c r="D38" s="207">
        <v>3293</v>
      </c>
      <c r="E38" s="213" t="s">
        <v>69</v>
      </c>
      <c r="F38" s="189" t="s">
        <v>698</v>
      </c>
      <c r="G38" s="234">
        <v>10000</v>
      </c>
      <c r="H38" s="470"/>
      <c r="I38" s="465"/>
    </row>
    <row r="39" spans="1:9">
      <c r="A39" s="246" t="s">
        <v>50</v>
      </c>
      <c r="B39" s="201">
        <v>11</v>
      </c>
      <c r="C39" s="191" t="s">
        <v>20</v>
      </c>
      <c r="D39" s="207">
        <v>3294</v>
      </c>
      <c r="E39" s="213" t="s">
        <v>70</v>
      </c>
      <c r="F39" s="189" t="s">
        <v>698</v>
      </c>
      <c r="G39" s="234">
        <v>5000</v>
      </c>
      <c r="H39" s="470"/>
      <c r="I39" s="465"/>
    </row>
    <row r="40" spans="1:9">
      <c r="A40" s="246" t="s">
        <v>50</v>
      </c>
      <c r="B40" s="201">
        <v>11</v>
      </c>
      <c r="C40" s="191" t="s">
        <v>20</v>
      </c>
      <c r="D40" s="207">
        <v>3295</v>
      </c>
      <c r="E40" s="213" t="s">
        <v>56</v>
      </c>
      <c r="F40" s="189" t="s">
        <v>698</v>
      </c>
      <c r="G40" s="234"/>
      <c r="H40" s="470"/>
      <c r="I40" s="465"/>
    </row>
    <row r="41" spans="1:9">
      <c r="A41" s="246" t="s">
        <v>50</v>
      </c>
      <c r="B41" s="201">
        <v>11</v>
      </c>
      <c r="C41" s="191" t="s">
        <v>20</v>
      </c>
      <c r="D41" s="207">
        <v>3299</v>
      </c>
      <c r="E41" s="213" t="s">
        <v>58</v>
      </c>
      <c r="F41" s="189" t="s">
        <v>698</v>
      </c>
      <c r="G41" s="234">
        <v>5000</v>
      </c>
      <c r="H41" s="470"/>
      <c r="I41" s="465">
        <v>82000</v>
      </c>
    </row>
    <row r="42" spans="1:9" ht="25.5">
      <c r="A42" s="246" t="s">
        <v>50</v>
      </c>
      <c r="B42" s="201">
        <v>11</v>
      </c>
      <c r="C42" s="191" t="s">
        <v>20</v>
      </c>
      <c r="D42" s="207">
        <v>3431</v>
      </c>
      <c r="E42" s="213" t="s">
        <v>71</v>
      </c>
      <c r="F42" s="189" t="s">
        <v>698</v>
      </c>
      <c r="G42" s="234">
        <v>5000</v>
      </c>
      <c r="H42" s="470"/>
      <c r="I42" s="465"/>
    </row>
    <row r="43" spans="1:9" ht="25.5">
      <c r="A43" s="246" t="s">
        <v>50</v>
      </c>
      <c r="B43" s="201">
        <v>11</v>
      </c>
      <c r="C43" s="191" t="s">
        <v>20</v>
      </c>
      <c r="D43" s="207">
        <v>3432</v>
      </c>
      <c r="E43" s="213" t="s">
        <v>72</v>
      </c>
      <c r="F43" s="189" t="s">
        <v>698</v>
      </c>
      <c r="G43" s="234"/>
      <c r="H43" s="470"/>
      <c r="I43" s="465"/>
    </row>
    <row r="44" spans="1:9">
      <c r="A44" s="246" t="s">
        <v>50</v>
      </c>
      <c r="B44" s="201">
        <v>11</v>
      </c>
      <c r="C44" s="191" t="s">
        <v>20</v>
      </c>
      <c r="D44" s="207">
        <v>3434</v>
      </c>
      <c r="E44" s="213" t="s">
        <v>98</v>
      </c>
      <c r="F44" s="189" t="s">
        <v>698</v>
      </c>
      <c r="G44" s="234"/>
      <c r="H44" s="470"/>
      <c r="I44" s="465"/>
    </row>
    <row r="45" spans="1:9" ht="25.5">
      <c r="A45" s="246" t="s">
        <v>50</v>
      </c>
      <c r="B45" s="201">
        <v>11</v>
      </c>
      <c r="C45" s="191" t="s">
        <v>20</v>
      </c>
      <c r="D45" s="207">
        <v>3721</v>
      </c>
      <c r="E45" s="213" t="s">
        <v>85</v>
      </c>
      <c r="F45" s="189" t="s">
        <v>698</v>
      </c>
      <c r="G45" s="234"/>
      <c r="H45" s="470"/>
      <c r="I45" s="465"/>
    </row>
    <row r="46" spans="1:9">
      <c r="A46" s="246" t="s">
        <v>50</v>
      </c>
      <c r="B46" s="201">
        <v>11</v>
      </c>
      <c r="C46" s="191" t="s">
        <v>20</v>
      </c>
      <c r="D46" s="207">
        <v>4123</v>
      </c>
      <c r="E46" s="213" t="s">
        <v>93</v>
      </c>
      <c r="F46" s="189" t="s">
        <v>698</v>
      </c>
      <c r="G46" s="234"/>
      <c r="H46" s="470"/>
      <c r="I46" s="465"/>
    </row>
    <row r="47" spans="1:9">
      <c r="A47" s="246" t="s">
        <v>50</v>
      </c>
      <c r="B47" s="201">
        <v>11</v>
      </c>
      <c r="C47" s="191" t="s">
        <v>20</v>
      </c>
      <c r="D47" s="207">
        <v>4221</v>
      </c>
      <c r="E47" s="213" t="s">
        <v>64</v>
      </c>
      <c r="F47" s="189" t="s">
        <v>698</v>
      </c>
      <c r="G47" s="234">
        <v>20000</v>
      </c>
      <c r="H47" s="470"/>
      <c r="I47" s="465">
        <v>137000</v>
      </c>
    </row>
    <row r="48" spans="1:9">
      <c r="A48" s="246" t="s">
        <v>50</v>
      </c>
      <c r="B48" s="201">
        <v>11</v>
      </c>
      <c r="C48" s="191" t="s">
        <v>20</v>
      </c>
      <c r="D48" s="207">
        <v>4222</v>
      </c>
      <c r="E48" s="213" t="s">
        <v>73</v>
      </c>
      <c r="F48" s="189" t="s">
        <v>698</v>
      </c>
      <c r="G48" s="234">
        <v>75000</v>
      </c>
      <c r="H48" s="470"/>
      <c r="I48" s="465"/>
    </row>
    <row r="49" spans="1:12">
      <c r="A49" s="246" t="s">
        <v>50</v>
      </c>
      <c r="B49" s="201">
        <v>11</v>
      </c>
      <c r="C49" s="191" t="s">
        <v>20</v>
      </c>
      <c r="D49" s="207">
        <v>4223</v>
      </c>
      <c r="E49" s="213" t="s">
        <v>91</v>
      </c>
      <c r="F49" s="189" t="s">
        <v>698</v>
      </c>
      <c r="G49" s="234"/>
      <c r="H49" s="470"/>
      <c r="I49" s="465"/>
    </row>
    <row r="50" spans="1:12">
      <c r="A50" s="246" t="s">
        <v>50</v>
      </c>
      <c r="B50" s="201">
        <v>11</v>
      </c>
      <c r="C50" s="191" t="s">
        <v>20</v>
      </c>
      <c r="D50" s="207">
        <v>4224</v>
      </c>
      <c r="E50" s="213" t="s">
        <v>74</v>
      </c>
      <c r="F50" s="189" t="s">
        <v>698</v>
      </c>
      <c r="G50" s="234"/>
      <c r="H50" s="470"/>
      <c r="I50" s="465"/>
    </row>
    <row r="51" spans="1:12">
      <c r="A51" s="246" t="s">
        <v>50</v>
      </c>
      <c r="B51" s="201">
        <v>11</v>
      </c>
      <c r="C51" s="191" t="s">
        <v>20</v>
      </c>
      <c r="D51" s="207">
        <v>4225</v>
      </c>
      <c r="E51" s="213" t="s">
        <v>86</v>
      </c>
      <c r="F51" s="189" t="s">
        <v>698</v>
      </c>
      <c r="G51" s="234"/>
      <c r="H51" s="470"/>
      <c r="I51" s="465">
        <v>80000</v>
      </c>
    </row>
    <row r="52" spans="1:12" ht="25.5">
      <c r="A52" s="246" t="s">
        <v>50</v>
      </c>
      <c r="B52" s="201">
        <v>11</v>
      </c>
      <c r="C52" s="191" t="s">
        <v>20</v>
      </c>
      <c r="D52" s="207">
        <v>4227</v>
      </c>
      <c r="E52" s="213" t="s">
        <v>94</v>
      </c>
      <c r="F52" s="189" t="s">
        <v>698</v>
      </c>
      <c r="G52" s="234"/>
      <c r="H52" s="470"/>
      <c r="I52" s="465"/>
    </row>
    <row r="53" spans="1:12">
      <c r="A53" s="246" t="s">
        <v>50</v>
      </c>
      <c r="B53" s="201">
        <v>11</v>
      </c>
      <c r="C53" s="191" t="s">
        <v>20</v>
      </c>
      <c r="D53" s="207">
        <v>4241</v>
      </c>
      <c r="E53" s="213" t="s">
        <v>75</v>
      </c>
      <c r="F53" s="189" t="s">
        <v>698</v>
      </c>
      <c r="G53" s="234">
        <v>45000</v>
      </c>
      <c r="H53" s="470">
        <v>88004.72</v>
      </c>
      <c r="I53" s="465">
        <v>138500</v>
      </c>
    </row>
    <row r="54" spans="1:12">
      <c r="A54" s="246" t="s">
        <v>50</v>
      </c>
      <c r="B54" s="201">
        <v>11</v>
      </c>
      <c r="C54" s="191" t="s">
        <v>20</v>
      </c>
      <c r="D54" s="207">
        <v>4262</v>
      </c>
      <c r="E54" s="213" t="s">
        <v>87</v>
      </c>
      <c r="F54" s="189" t="s">
        <v>698</v>
      </c>
      <c r="G54" s="234"/>
      <c r="H54" s="470"/>
      <c r="I54" s="465"/>
    </row>
    <row r="55" spans="1:12" ht="25.5">
      <c r="A55" s="246" t="s">
        <v>50</v>
      </c>
      <c r="B55" s="201">
        <v>11</v>
      </c>
      <c r="C55" s="191" t="s">
        <v>20</v>
      </c>
      <c r="D55" s="207">
        <v>4312</v>
      </c>
      <c r="E55" s="213" t="s">
        <v>700</v>
      </c>
      <c r="F55" s="189" t="s">
        <v>698</v>
      </c>
      <c r="G55" s="234"/>
      <c r="H55" s="470"/>
      <c r="I55" s="465"/>
    </row>
    <row r="56" spans="1:12" ht="25.5">
      <c r="A56" s="246" t="s">
        <v>50</v>
      </c>
      <c r="B56" s="201">
        <v>11</v>
      </c>
      <c r="C56" s="191" t="s">
        <v>20</v>
      </c>
      <c r="D56" s="207">
        <v>4511</v>
      </c>
      <c r="E56" s="213" t="s">
        <v>92</v>
      </c>
      <c r="F56" s="189" t="s">
        <v>698</v>
      </c>
      <c r="G56" s="234"/>
      <c r="H56" s="470"/>
      <c r="I56" s="465"/>
      <c r="K56" s="446"/>
    </row>
    <row r="57" spans="1:12">
      <c r="A57" s="247" t="s">
        <v>50</v>
      </c>
      <c r="B57" s="202">
        <v>11</v>
      </c>
      <c r="C57" s="193" t="s">
        <v>20</v>
      </c>
      <c r="D57" s="208"/>
      <c r="E57" s="214" t="s">
        <v>171</v>
      </c>
      <c r="F57" s="194" t="s">
        <v>698</v>
      </c>
      <c r="G57" s="235">
        <f>SUM(G15:G56)</f>
        <v>1411559</v>
      </c>
      <c r="H57" s="235">
        <f>SUM(H15:H56)</f>
        <v>917778.92999999982</v>
      </c>
      <c r="I57" s="235">
        <f>SUM(I15:I56)</f>
        <v>1411500</v>
      </c>
    </row>
    <row r="58" spans="1:12">
      <c r="A58" s="247" t="s">
        <v>50</v>
      </c>
      <c r="B58" s="202">
        <v>11</v>
      </c>
      <c r="C58" s="193" t="s">
        <v>20</v>
      </c>
      <c r="D58" s="208">
        <v>3237</v>
      </c>
      <c r="E58" s="214" t="s">
        <v>63</v>
      </c>
      <c r="F58" s="194" t="s">
        <v>701</v>
      </c>
      <c r="G58" s="235">
        <v>3800</v>
      </c>
      <c r="H58" s="235">
        <v>3800</v>
      </c>
      <c r="I58" s="248">
        <v>3800</v>
      </c>
    </row>
    <row r="59" spans="1:12">
      <c r="A59" s="249" t="s">
        <v>50</v>
      </c>
      <c r="B59" s="204">
        <v>11</v>
      </c>
      <c r="C59" s="195" t="s">
        <v>20</v>
      </c>
      <c r="D59" s="211"/>
      <c r="E59" s="216" t="s">
        <v>702</v>
      </c>
      <c r="F59" s="196"/>
      <c r="G59" s="237">
        <f>G14+G57+G58</f>
        <v>17261248</v>
      </c>
      <c r="H59" s="237">
        <f>H14+H57+H58</f>
        <v>14992361.629999999</v>
      </c>
      <c r="I59" s="250">
        <f>I14+I57+I58</f>
        <v>18609800</v>
      </c>
      <c r="L59" s="446"/>
    </row>
    <row r="60" spans="1:12">
      <c r="A60" s="246" t="s">
        <v>50</v>
      </c>
      <c r="B60" s="201">
        <v>31</v>
      </c>
      <c r="C60" s="191" t="s">
        <v>23</v>
      </c>
      <c r="D60" s="207">
        <v>3111</v>
      </c>
      <c r="E60" s="213" t="s">
        <v>51</v>
      </c>
      <c r="F60" s="189" t="s">
        <v>703</v>
      </c>
      <c r="G60" s="234">
        <v>124800</v>
      </c>
      <c r="H60" s="470">
        <v>30397.37</v>
      </c>
      <c r="I60" s="465">
        <v>50400</v>
      </c>
    </row>
    <row r="61" spans="1:12">
      <c r="A61" s="246" t="s">
        <v>50</v>
      </c>
      <c r="B61" s="201">
        <v>31</v>
      </c>
      <c r="C61" s="191" t="s">
        <v>23</v>
      </c>
      <c r="D61" s="207">
        <v>3112</v>
      </c>
      <c r="E61" s="213" t="s">
        <v>100</v>
      </c>
      <c r="F61" s="189" t="s">
        <v>703</v>
      </c>
      <c r="G61" s="234"/>
      <c r="H61" s="470"/>
      <c r="I61" s="465"/>
    </row>
    <row r="62" spans="1:12">
      <c r="A62" s="246" t="s">
        <v>50</v>
      </c>
      <c r="B62" s="201">
        <v>31</v>
      </c>
      <c r="C62" s="191" t="s">
        <v>23</v>
      </c>
      <c r="D62" s="207">
        <v>3121</v>
      </c>
      <c r="E62" s="213" t="s">
        <v>52</v>
      </c>
      <c r="F62" s="189" t="s">
        <v>703</v>
      </c>
      <c r="G62" s="234"/>
      <c r="H62" s="470"/>
      <c r="I62" s="465"/>
    </row>
    <row r="63" spans="1:12" ht="25.5">
      <c r="A63" s="246" t="s">
        <v>50</v>
      </c>
      <c r="B63" s="201">
        <v>31</v>
      </c>
      <c r="C63" s="191" t="s">
        <v>23</v>
      </c>
      <c r="D63" s="207">
        <v>3132</v>
      </c>
      <c r="E63" s="213" t="s">
        <v>53</v>
      </c>
      <c r="F63" s="189" t="s">
        <v>703</v>
      </c>
      <c r="G63" s="234">
        <v>20000</v>
      </c>
      <c r="H63" s="470">
        <v>5015.57</v>
      </c>
      <c r="I63" s="465">
        <v>9000</v>
      </c>
    </row>
    <row r="64" spans="1:12">
      <c r="A64" s="246" t="s">
        <v>50</v>
      </c>
      <c r="B64" s="201">
        <v>31</v>
      </c>
      <c r="C64" s="191" t="s">
        <v>23</v>
      </c>
      <c r="D64" s="207">
        <v>3211</v>
      </c>
      <c r="E64" s="213" t="s">
        <v>61</v>
      </c>
      <c r="F64" s="189" t="s">
        <v>703</v>
      </c>
      <c r="G64" s="234">
        <v>3000</v>
      </c>
      <c r="H64" s="470"/>
      <c r="I64" s="465"/>
    </row>
    <row r="65" spans="1:11" ht="25.5">
      <c r="A65" s="246" t="s">
        <v>50</v>
      </c>
      <c r="B65" s="201">
        <v>31</v>
      </c>
      <c r="C65" s="191" t="s">
        <v>23</v>
      </c>
      <c r="D65" s="207">
        <v>3212</v>
      </c>
      <c r="E65" s="213" t="s">
        <v>54</v>
      </c>
      <c r="F65" s="189" t="s">
        <v>703</v>
      </c>
      <c r="G65" s="234"/>
      <c r="H65" s="470"/>
      <c r="I65" s="465"/>
    </row>
    <row r="66" spans="1:11">
      <c r="A66" s="246" t="s">
        <v>50</v>
      </c>
      <c r="B66" s="201">
        <v>31</v>
      </c>
      <c r="C66" s="191" t="s">
        <v>23</v>
      </c>
      <c r="D66" s="207">
        <v>3213</v>
      </c>
      <c r="E66" s="213" t="s">
        <v>65</v>
      </c>
      <c r="F66" s="189" t="s">
        <v>703</v>
      </c>
      <c r="G66" s="234"/>
      <c r="H66" s="470"/>
      <c r="I66" s="465"/>
      <c r="K66" s="446">
        <f>+I60+I63</f>
        <v>59400</v>
      </c>
    </row>
    <row r="67" spans="1:11" ht="25.5">
      <c r="A67" s="246" t="s">
        <v>50</v>
      </c>
      <c r="B67" s="201">
        <v>31</v>
      </c>
      <c r="C67" s="191" t="s">
        <v>23</v>
      </c>
      <c r="D67" s="207">
        <v>3221</v>
      </c>
      <c r="E67" s="213" t="s">
        <v>66</v>
      </c>
      <c r="F67" s="189" t="s">
        <v>703</v>
      </c>
      <c r="G67" s="234">
        <v>1000</v>
      </c>
      <c r="H67" s="470"/>
      <c r="I67" s="465"/>
    </row>
    <row r="68" spans="1:11">
      <c r="A68" s="246" t="s">
        <v>50</v>
      </c>
      <c r="B68" s="201">
        <v>31</v>
      </c>
      <c r="C68" s="191" t="s">
        <v>23</v>
      </c>
      <c r="D68" s="207">
        <v>3222</v>
      </c>
      <c r="E68" s="213" t="s">
        <v>77</v>
      </c>
      <c r="F68" s="189" t="s">
        <v>703</v>
      </c>
      <c r="G68" s="234"/>
      <c r="H68" s="470"/>
      <c r="I68" s="465"/>
    </row>
    <row r="69" spans="1:11">
      <c r="A69" s="246" t="s">
        <v>50</v>
      </c>
      <c r="B69" s="201">
        <v>31</v>
      </c>
      <c r="C69" s="191" t="s">
        <v>23</v>
      </c>
      <c r="D69" s="207">
        <v>3223</v>
      </c>
      <c r="E69" s="213" t="s">
        <v>78</v>
      </c>
      <c r="F69" s="189" t="s">
        <v>703</v>
      </c>
      <c r="G69" s="234"/>
      <c r="H69" s="470"/>
      <c r="I69" s="465"/>
    </row>
    <row r="70" spans="1:11" ht="25.5">
      <c r="A70" s="246" t="s">
        <v>50</v>
      </c>
      <c r="B70" s="201">
        <v>31</v>
      </c>
      <c r="C70" s="191" t="s">
        <v>23</v>
      </c>
      <c r="D70" s="207">
        <v>3224</v>
      </c>
      <c r="E70" s="213" t="s">
        <v>62</v>
      </c>
      <c r="F70" s="189" t="s">
        <v>703</v>
      </c>
      <c r="G70" s="234"/>
      <c r="H70" s="470"/>
      <c r="I70" s="465"/>
    </row>
    <row r="71" spans="1:11">
      <c r="A71" s="246" t="s">
        <v>50</v>
      </c>
      <c r="B71" s="201">
        <v>31</v>
      </c>
      <c r="C71" s="191" t="s">
        <v>23</v>
      </c>
      <c r="D71" s="207">
        <v>3225</v>
      </c>
      <c r="E71" s="213" t="s">
        <v>79</v>
      </c>
      <c r="F71" s="189" t="s">
        <v>703</v>
      </c>
      <c r="G71" s="234"/>
      <c r="H71" s="470"/>
      <c r="I71" s="465"/>
    </row>
    <row r="72" spans="1:11" ht="25.5">
      <c r="A72" s="246" t="s">
        <v>50</v>
      </c>
      <c r="B72" s="201">
        <v>31</v>
      </c>
      <c r="C72" s="191" t="s">
        <v>23</v>
      </c>
      <c r="D72" s="207">
        <v>3227</v>
      </c>
      <c r="E72" s="213" t="s">
        <v>90</v>
      </c>
      <c r="F72" s="189" t="s">
        <v>703</v>
      </c>
      <c r="G72" s="234"/>
      <c r="H72" s="470"/>
      <c r="I72" s="465"/>
    </row>
    <row r="73" spans="1:11">
      <c r="A73" s="246" t="s">
        <v>50</v>
      </c>
      <c r="B73" s="201">
        <v>31</v>
      </c>
      <c r="C73" s="191" t="s">
        <v>23</v>
      </c>
      <c r="D73" s="207">
        <v>3231</v>
      </c>
      <c r="E73" s="213" t="s">
        <v>80</v>
      </c>
      <c r="F73" s="189" t="s">
        <v>703</v>
      </c>
      <c r="G73" s="234"/>
      <c r="H73" s="470"/>
      <c r="I73" s="465"/>
    </row>
    <row r="74" spans="1:11" ht="25.5">
      <c r="A74" s="246" t="s">
        <v>50</v>
      </c>
      <c r="B74" s="201">
        <v>31</v>
      </c>
      <c r="C74" s="191" t="s">
        <v>23</v>
      </c>
      <c r="D74" s="207">
        <v>3232</v>
      </c>
      <c r="E74" s="213" t="s">
        <v>81</v>
      </c>
      <c r="F74" s="189" t="s">
        <v>703</v>
      </c>
      <c r="G74" s="234">
        <v>9000</v>
      </c>
      <c r="H74" s="470"/>
      <c r="I74" s="465"/>
    </row>
    <row r="75" spans="1:11">
      <c r="A75" s="246" t="s">
        <v>50</v>
      </c>
      <c r="B75" s="201">
        <v>31</v>
      </c>
      <c r="C75" s="191" t="s">
        <v>23</v>
      </c>
      <c r="D75" s="207">
        <v>3233</v>
      </c>
      <c r="E75" s="213" t="s">
        <v>82</v>
      </c>
      <c r="F75" s="189" t="s">
        <v>703</v>
      </c>
      <c r="G75" s="234">
        <v>2000</v>
      </c>
      <c r="H75" s="470">
        <v>2750</v>
      </c>
      <c r="I75" s="465">
        <v>6000</v>
      </c>
    </row>
    <row r="76" spans="1:11">
      <c r="A76" s="246" t="s">
        <v>50</v>
      </c>
      <c r="B76" s="201">
        <v>31</v>
      </c>
      <c r="C76" s="191" t="s">
        <v>23</v>
      </c>
      <c r="D76" s="207">
        <v>3234</v>
      </c>
      <c r="E76" s="213" t="s">
        <v>88</v>
      </c>
      <c r="F76" s="189" t="s">
        <v>703</v>
      </c>
      <c r="G76" s="234"/>
      <c r="H76" s="470"/>
      <c r="I76" s="465"/>
    </row>
    <row r="77" spans="1:11">
      <c r="A77" s="246" t="s">
        <v>50</v>
      </c>
      <c r="B77" s="201">
        <v>31</v>
      </c>
      <c r="C77" s="191" t="s">
        <v>23</v>
      </c>
      <c r="D77" s="207">
        <v>3235</v>
      </c>
      <c r="E77" s="213" t="s">
        <v>89</v>
      </c>
      <c r="F77" s="189" t="s">
        <v>703</v>
      </c>
      <c r="G77" s="234"/>
      <c r="H77" s="470"/>
      <c r="I77" s="465"/>
    </row>
    <row r="78" spans="1:11">
      <c r="A78" s="246" t="s">
        <v>50</v>
      </c>
      <c r="B78" s="201">
        <v>31</v>
      </c>
      <c r="C78" s="191" t="s">
        <v>23</v>
      </c>
      <c r="D78" s="207">
        <v>3236</v>
      </c>
      <c r="E78" s="213" t="s">
        <v>55</v>
      </c>
      <c r="F78" s="189" t="s">
        <v>703</v>
      </c>
      <c r="G78" s="234"/>
      <c r="H78" s="470"/>
      <c r="I78" s="465"/>
    </row>
    <row r="79" spans="1:11">
      <c r="A79" s="246" t="s">
        <v>50</v>
      </c>
      <c r="B79" s="201">
        <v>31</v>
      </c>
      <c r="C79" s="191" t="s">
        <v>23</v>
      </c>
      <c r="D79" s="207">
        <v>3237</v>
      </c>
      <c r="E79" s="213" t="s">
        <v>63</v>
      </c>
      <c r="F79" s="189" t="s">
        <v>703</v>
      </c>
      <c r="G79" s="234">
        <v>80500</v>
      </c>
      <c r="H79" s="470">
        <f>371.22+2474.8+2474.8</f>
        <v>5320.8200000000006</v>
      </c>
      <c r="I79" s="465">
        <v>11500</v>
      </c>
    </row>
    <row r="80" spans="1:11">
      <c r="A80" s="246" t="s">
        <v>50</v>
      </c>
      <c r="B80" s="201">
        <v>31</v>
      </c>
      <c r="C80" s="191" t="s">
        <v>23</v>
      </c>
      <c r="D80" s="207">
        <v>3238</v>
      </c>
      <c r="E80" s="213" t="s">
        <v>83</v>
      </c>
      <c r="F80" s="189" t="s">
        <v>703</v>
      </c>
      <c r="G80" s="234"/>
      <c r="H80" s="470"/>
      <c r="I80" s="465"/>
    </row>
    <row r="81" spans="1:11">
      <c r="A81" s="246" t="s">
        <v>50</v>
      </c>
      <c r="B81" s="201">
        <v>31</v>
      </c>
      <c r="C81" s="191" t="s">
        <v>23</v>
      </c>
      <c r="D81" s="207">
        <v>3239</v>
      </c>
      <c r="E81" s="213" t="s">
        <v>67</v>
      </c>
      <c r="F81" s="189" t="s">
        <v>703</v>
      </c>
      <c r="G81" s="234">
        <v>87000</v>
      </c>
      <c r="H81" s="470">
        <f>5800+200</f>
        <v>6000</v>
      </c>
      <c r="I81" s="465">
        <v>6500</v>
      </c>
    </row>
    <row r="82" spans="1:11" ht="25.5">
      <c r="A82" s="246" t="s">
        <v>50</v>
      </c>
      <c r="B82" s="201">
        <v>31</v>
      </c>
      <c r="C82" s="191" t="s">
        <v>23</v>
      </c>
      <c r="D82" s="207">
        <v>3241</v>
      </c>
      <c r="E82" s="213" t="s">
        <v>68</v>
      </c>
      <c r="F82" s="189" t="s">
        <v>703</v>
      </c>
      <c r="G82" s="234">
        <v>11000</v>
      </c>
      <c r="H82" s="470"/>
      <c r="I82" s="465"/>
    </row>
    <row r="83" spans="1:11">
      <c r="A83" s="246" t="s">
        <v>50</v>
      </c>
      <c r="B83" s="201">
        <v>31</v>
      </c>
      <c r="C83" s="191" t="s">
        <v>23</v>
      </c>
      <c r="D83" s="207">
        <v>3292</v>
      </c>
      <c r="E83" s="213" t="s">
        <v>60</v>
      </c>
      <c r="F83" s="189" t="s">
        <v>703</v>
      </c>
      <c r="G83" s="234"/>
      <c r="H83" s="470"/>
      <c r="I83" s="465"/>
    </row>
    <row r="84" spans="1:11">
      <c r="A84" s="246" t="s">
        <v>50</v>
      </c>
      <c r="B84" s="201">
        <v>31</v>
      </c>
      <c r="C84" s="191" t="s">
        <v>23</v>
      </c>
      <c r="D84" s="207">
        <v>3293</v>
      </c>
      <c r="E84" s="213" t="s">
        <v>69</v>
      </c>
      <c r="F84" s="189" t="s">
        <v>703</v>
      </c>
      <c r="G84" s="234">
        <v>9000</v>
      </c>
      <c r="H84" s="470">
        <v>2119.61</v>
      </c>
      <c r="I84" s="465">
        <v>3000</v>
      </c>
    </row>
    <row r="85" spans="1:11">
      <c r="A85" s="246" t="s">
        <v>50</v>
      </c>
      <c r="B85" s="201">
        <v>31</v>
      </c>
      <c r="C85" s="191" t="s">
        <v>23</v>
      </c>
      <c r="D85" s="207">
        <v>3294</v>
      </c>
      <c r="E85" s="213" t="s">
        <v>70</v>
      </c>
      <c r="F85" s="189" t="s">
        <v>703</v>
      </c>
      <c r="G85" s="234">
        <v>0</v>
      </c>
      <c r="H85" s="470"/>
      <c r="I85" s="465"/>
      <c r="K85" s="446">
        <f>+I75+I79+I81+I84</f>
        <v>27000</v>
      </c>
    </row>
    <row r="86" spans="1:11">
      <c r="A86" s="246" t="s">
        <v>50</v>
      </c>
      <c r="B86" s="201">
        <v>31</v>
      </c>
      <c r="C86" s="191" t="s">
        <v>23</v>
      </c>
      <c r="D86" s="207">
        <v>3295</v>
      </c>
      <c r="E86" s="213" t="s">
        <v>56</v>
      </c>
      <c r="F86" s="189" t="s">
        <v>703</v>
      </c>
      <c r="G86" s="234"/>
      <c r="H86" s="470"/>
      <c r="I86" s="465"/>
    </row>
    <row r="87" spans="1:11">
      <c r="A87" s="246" t="s">
        <v>50</v>
      </c>
      <c r="B87" s="201">
        <v>31</v>
      </c>
      <c r="C87" s="191" t="s">
        <v>23</v>
      </c>
      <c r="D87" s="207">
        <v>3299</v>
      </c>
      <c r="E87" s="213" t="s">
        <v>58</v>
      </c>
      <c r="F87" s="189" t="s">
        <v>703</v>
      </c>
      <c r="G87" s="234"/>
      <c r="H87" s="470"/>
      <c r="I87" s="465"/>
    </row>
    <row r="88" spans="1:11" ht="25.5">
      <c r="A88" s="246" t="s">
        <v>50</v>
      </c>
      <c r="B88" s="201">
        <v>31</v>
      </c>
      <c r="C88" s="191" t="s">
        <v>23</v>
      </c>
      <c r="D88" s="207">
        <v>3431</v>
      </c>
      <c r="E88" s="213" t="s">
        <v>71</v>
      </c>
      <c r="F88" s="189" t="s">
        <v>703</v>
      </c>
      <c r="G88" s="234">
        <v>4000</v>
      </c>
      <c r="H88" s="470">
        <v>112.46</v>
      </c>
      <c r="I88" s="465">
        <v>500</v>
      </c>
    </row>
    <row r="89" spans="1:11" ht="25.5">
      <c r="A89" s="246" t="s">
        <v>50</v>
      </c>
      <c r="B89" s="201">
        <v>31</v>
      </c>
      <c r="C89" s="191" t="s">
        <v>23</v>
      </c>
      <c r="D89" s="207">
        <v>3432</v>
      </c>
      <c r="E89" s="213" t="s">
        <v>72</v>
      </c>
      <c r="F89" s="189" t="s">
        <v>703</v>
      </c>
      <c r="G89" s="234"/>
      <c r="H89" s="470">
        <v>315.58</v>
      </c>
      <c r="I89" s="465"/>
    </row>
    <row r="90" spans="1:11">
      <c r="A90" s="246" t="s">
        <v>50</v>
      </c>
      <c r="B90" s="201">
        <v>31</v>
      </c>
      <c r="C90" s="191" t="s">
        <v>23</v>
      </c>
      <c r="D90" s="207">
        <v>3433</v>
      </c>
      <c r="E90" s="213" t="s">
        <v>97</v>
      </c>
      <c r="F90" s="189" t="s">
        <v>703</v>
      </c>
      <c r="G90" s="234"/>
      <c r="H90" s="470"/>
      <c r="I90" s="465"/>
    </row>
    <row r="91" spans="1:11">
      <c r="A91" s="246" t="s">
        <v>50</v>
      </c>
      <c r="B91" s="201">
        <v>31</v>
      </c>
      <c r="C91" s="191" t="s">
        <v>23</v>
      </c>
      <c r="D91" s="207">
        <v>3434</v>
      </c>
      <c r="E91" s="213" t="s">
        <v>98</v>
      </c>
      <c r="F91" s="189" t="s">
        <v>703</v>
      </c>
      <c r="G91" s="234"/>
      <c r="H91" s="470">
        <v>5723.71</v>
      </c>
      <c r="I91" s="465">
        <v>6500</v>
      </c>
    </row>
    <row r="92" spans="1:11" ht="25.5">
      <c r="A92" s="246" t="s">
        <v>50</v>
      </c>
      <c r="B92" s="201">
        <v>31</v>
      </c>
      <c r="C92" s="191" t="s">
        <v>23</v>
      </c>
      <c r="D92" s="207">
        <v>3721</v>
      </c>
      <c r="E92" s="213" t="s">
        <v>85</v>
      </c>
      <c r="F92" s="189" t="s">
        <v>703</v>
      </c>
      <c r="G92" s="234"/>
      <c r="H92" s="470"/>
      <c r="I92" s="465"/>
    </row>
    <row r="93" spans="1:11">
      <c r="A93" s="246" t="s">
        <v>50</v>
      </c>
      <c r="B93" s="201">
        <v>31</v>
      </c>
      <c r="C93" s="191" t="s">
        <v>23</v>
      </c>
      <c r="D93" s="207">
        <v>3811</v>
      </c>
      <c r="E93" s="213" t="s">
        <v>57</v>
      </c>
      <c r="F93" s="189" t="s">
        <v>703</v>
      </c>
      <c r="G93" s="234"/>
      <c r="H93" s="470"/>
      <c r="I93" s="465"/>
    </row>
    <row r="94" spans="1:11">
      <c r="A94" s="246" t="s">
        <v>50</v>
      </c>
      <c r="B94" s="201">
        <v>31</v>
      </c>
      <c r="C94" s="191" t="s">
        <v>23</v>
      </c>
      <c r="D94" s="207">
        <v>4212</v>
      </c>
      <c r="E94" s="213" t="s">
        <v>59</v>
      </c>
      <c r="F94" s="189" t="s">
        <v>703</v>
      </c>
      <c r="G94" s="234"/>
      <c r="H94" s="470"/>
      <c r="I94" s="465"/>
    </row>
    <row r="95" spans="1:11">
      <c r="A95" s="246" t="s">
        <v>50</v>
      </c>
      <c r="B95" s="201">
        <v>31</v>
      </c>
      <c r="C95" s="191" t="s">
        <v>23</v>
      </c>
      <c r="D95" s="207">
        <v>4221</v>
      </c>
      <c r="E95" s="213" t="s">
        <v>64</v>
      </c>
      <c r="F95" s="189" t="s">
        <v>703</v>
      </c>
      <c r="G95" s="234"/>
      <c r="H95" s="470"/>
      <c r="I95" s="465"/>
    </row>
    <row r="96" spans="1:11">
      <c r="A96" s="246" t="s">
        <v>50</v>
      </c>
      <c r="B96" s="201">
        <v>31</v>
      </c>
      <c r="C96" s="191" t="s">
        <v>23</v>
      </c>
      <c r="D96" s="207">
        <v>4222</v>
      </c>
      <c r="E96" s="213" t="s">
        <v>73</v>
      </c>
      <c r="F96" s="189" t="s">
        <v>703</v>
      </c>
      <c r="G96" s="234"/>
      <c r="H96" s="470"/>
      <c r="I96" s="465"/>
    </row>
    <row r="97" spans="1:9">
      <c r="A97" s="246" t="s">
        <v>50</v>
      </c>
      <c r="B97" s="201">
        <v>31</v>
      </c>
      <c r="C97" s="191" t="s">
        <v>23</v>
      </c>
      <c r="D97" s="207">
        <v>4224</v>
      </c>
      <c r="E97" s="213" t="s">
        <v>74</v>
      </c>
      <c r="F97" s="189" t="s">
        <v>703</v>
      </c>
      <c r="G97" s="234"/>
      <c r="H97" s="470"/>
      <c r="I97" s="465"/>
    </row>
    <row r="98" spans="1:9">
      <c r="A98" s="246" t="s">
        <v>50</v>
      </c>
      <c r="B98" s="201">
        <v>31</v>
      </c>
      <c r="C98" s="191" t="s">
        <v>23</v>
      </c>
      <c r="D98" s="207">
        <v>4225</v>
      </c>
      <c r="E98" s="213" t="s">
        <v>86</v>
      </c>
      <c r="F98" s="189" t="s">
        <v>703</v>
      </c>
      <c r="G98" s="234"/>
      <c r="H98" s="470"/>
      <c r="I98" s="465"/>
    </row>
    <row r="99" spans="1:9">
      <c r="A99" s="246" t="s">
        <v>50</v>
      </c>
      <c r="B99" s="201">
        <v>31</v>
      </c>
      <c r="C99" s="191" t="s">
        <v>23</v>
      </c>
      <c r="D99" s="207">
        <v>4226</v>
      </c>
      <c r="E99" s="213" t="s">
        <v>103</v>
      </c>
      <c r="F99" s="189" t="s">
        <v>703</v>
      </c>
      <c r="G99" s="234"/>
      <c r="H99" s="470"/>
      <c r="I99" s="465"/>
    </row>
    <row r="100" spans="1:9" ht="25.5">
      <c r="A100" s="246" t="s">
        <v>50</v>
      </c>
      <c r="B100" s="201">
        <v>31</v>
      </c>
      <c r="C100" s="191" t="s">
        <v>23</v>
      </c>
      <c r="D100" s="207">
        <v>4231</v>
      </c>
      <c r="E100" s="213" t="s">
        <v>104</v>
      </c>
      <c r="F100" s="189" t="s">
        <v>703</v>
      </c>
      <c r="G100" s="234"/>
      <c r="H100" s="470"/>
      <c r="I100" s="465"/>
    </row>
    <row r="101" spans="1:9">
      <c r="A101" s="246" t="s">
        <v>50</v>
      </c>
      <c r="B101" s="201">
        <v>31</v>
      </c>
      <c r="C101" s="191" t="s">
        <v>23</v>
      </c>
      <c r="D101" s="207">
        <v>4241</v>
      </c>
      <c r="E101" s="213" t="s">
        <v>75</v>
      </c>
      <c r="F101" s="189" t="s">
        <v>703</v>
      </c>
      <c r="G101" s="234"/>
      <c r="H101" s="470"/>
      <c r="I101" s="465"/>
    </row>
    <row r="102" spans="1:9" ht="25.5">
      <c r="A102" s="246" t="s">
        <v>50</v>
      </c>
      <c r="B102" s="201">
        <v>31</v>
      </c>
      <c r="C102" s="191" t="s">
        <v>23</v>
      </c>
      <c r="D102" s="207">
        <v>4511</v>
      </c>
      <c r="E102" s="213" t="s">
        <v>92</v>
      </c>
      <c r="F102" s="189" t="s">
        <v>703</v>
      </c>
      <c r="G102" s="234"/>
      <c r="H102" s="470"/>
      <c r="I102" s="465"/>
    </row>
    <row r="103" spans="1:9">
      <c r="A103" s="249" t="s">
        <v>50</v>
      </c>
      <c r="B103" s="204">
        <v>31</v>
      </c>
      <c r="C103" s="195" t="s">
        <v>23</v>
      </c>
      <c r="D103" s="211"/>
      <c r="E103" s="216" t="s">
        <v>171</v>
      </c>
      <c r="F103" s="196" t="s">
        <v>703</v>
      </c>
      <c r="G103" s="237">
        <f>SUM(G60:G102)</f>
        <v>351300</v>
      </c>
      <c r="H103" s="237">
        <f t="shared" ref="H103:I103" si="0">SUM(H60:H102)</f>
        <v>57755.12</v>
      </c>
      <c r="I103" s="237">
        <f t="shared" si="0"/>
        <v>93400</v>
      </c>
    </row>
    <row r="104" spans="1:9" ht="25.5">
      <c r="A104" s="246" t="s">
        <v>50</v>
      </c>
      <c r="B104" s="201">
        <v>43</v>
      </c>
      <c r="C104" s="191" t="s">
        <v>28</v>
      </c>
      <c r="D104" s="207">
        <v>3111</v>
      </c>
      <c r="E104" s="213" t="s">
        <v>51</v>
      </c>
      <c r="F104" s="189" t="s">
        <v>704</v>
      </c>
      <c r="G104" s="234">
        <v>53000</v>
      </c>
      <c r="H104" s="470">
        <v>33883.24</v>
      </c>
      <c r="I104" s="465">
        <f>48000+22000</f>
        <v>70000</v>
      </c>
    </row>
    <row r="105" spans="1:9" ht="25.5">
      <c r="A105" s="246" t="s">
        <v>50</v>
      </c>
      <c r="B105" s="201">
        <v>43</v>
      </c>
      <c r="C105" s="191" t="s">
        <v>28</v>
      </c>
      <c r="D105" s="207">
        <v>3132</v>
      </c>
      <c r="E105" s="213" t="s">
        <v>53</v>
      </c>
      <c r="F105" s="189" t="s">
        <v>704</v>
      </c>
      <c r="G105" s="234">
        <v>8700</v>
      </c>
      <c r="H105" s="470">
        <v>3540.16</v>
      </c>
      <c r="I105" s="465">
        <f>8000+2500</f>
        <v>10500</v>
      </c>
    </row>
    <row r="106" spans="1:9" ht="25.5">
      <c r="A106" s="246" t="s">
        <v>50</v>
      </c>
      <c r="B106" s="201">
        <v>43</v>
      </c>
      <c r="C106" s="191" t="s">
        <v>28</v>
      </c>
      <c r="D106" s="207">
        <v>3211</v>
      </c>
      <c r="E106" s="213" t="s">
        <v>61</v>
      </c>
      <c r="F106" s="189" t="s">
        <v>704</v>
      </c>
      <c r="G106" s="234">
        <v>20800</v>
      </c>
      <c r="H106" s="470">
        <v>1901.08</v>
      </c>
      <c r="I106" s="465">
        <f>1500+1000</f>
        <v>2500</v>
      </c>
    </row>
    <row r="107" spans="1:9" ht="25.5">
      <c r="A107" s="246" t="s">
        <v>50</v>
      </c>
      <c r="B107" s="201">
        <v>43</v>
      </c>
      <c r="C107" s="191" t="s">
        <v>28</v>
      </c>
      <c r="D107" s="207">
        <v>3212</v>
      </c>
      <c r="E107" s="213" t="s">
        <v>54</v>
      </c>
      <c r="F107" s="189" t="s">
        <v>704</v>
      </c>
      <c r="G107" s="234">
        <v>3100</v>
      </c>
      <c r="H107" s="470"/>
      <c r="I107" s="465"/>
    </row>
    <row r="108" spans="1:9" ht="25.5">
      <c r="A108" s="246" t="s">
        <v>50</v>
      </c>
      <c r="B108" s="201">
        <v>43</v>
      </c>
      <c r="C108" s="191" t="s">
        <v>28</v>
      </c>
      <c r="D108" s="207">
        <v>3233</v>
      </c>
      <c r="E108" s="213" t="s">
        <v>82</v>
      </c>
      <c r="F108" s="189" t="s">
        <v>704</v>
      </c>
      <c r="G108" s="234">
        <v>3600</v>
      </c>
      <c r="H108" s="470">
        <v>4090</v>
      </c>
      <c r="I108" s="465">
        <v>4500</v>
      </c>
    </row>
    <row r="109" spans="1:9" ht="25.5">
      <c r="A109" s="246" t="s">
        <v>50</v>
      </c>
      <c r="B109" s="201">
        <v>43</v>
      </c>
      <c r="C109" s="191" t="s">
        <v>28</v>
      </c>
      <c r="D109" s="207">
        <v>3235</v>
      </c>
      <c r="E109" s="213" t="s">
        <v>89</v>
      </c>
      <c r="F109" s="189" t="s">
        <v>704</v>
      </c>
      <c r="G109" s="234">
        <v>400</v>
      </c>
      <c r="H109" s="470"/>
      <c r="I109" s="465"/>
    </row>
    <row r="110" spans="1:9" ht="25.5">
      <c r="A110" s="246" t="s">
        <v>50</v>
      </c>
      <c r="B110" s="201">
        <v>43</v>
      </c>
      <c r="C110" s="191" t="s">
        <v>28</v>
      </c>
      <c r="D110" s="207">
        <v>3239</v>
      </c>
      <c r="E110" s="213" t="s">
        <v>67</v>
      </c>
      <c r="F110" s="189" t="s">
        <v>704</v>
      </c>
      <c r="G110" s="234">
        <v>5000</v>
      </c>
      <c r="H110" s="470">
        <v>2356.9899999999998</v>
      </c>
      <c r="I110" s="465">
        <v>1000</v>
      </c>
    </row>
    <row r="111" spans="1:9" ht="25.5">
      <c r="A111" s="246" t="s">
        <v>50</v>
      </c>
      <c r="B111" s="201">
        <v>43</v>
      </c>
      <c r="C111" s="191" t="s">
        <v>28</v>
      </c>
      <c r="D111" s="207">
        <v>3241</v>
      </c>
      <c r="E111" s="213" t="s">
        <v>68</v>
      </c>
      <c r="F111" s="189" t="s">
        <v>704</v>
      </c>
      <c r="G111" s="234">
        <v>1000</v>
      </c>
      <c r="H111" s="470"/>
      <c r="I111" s="465"/>
    </row>
    <row r="112" spans="1:9" ht="25.5">
      <c r="A112" s="246" t="s">
        <v>50</v>
      </c>
      <c r="B112" s="201">
        <v>43</v>
      </c>
      <c r="C112" s="191" t="s">
        <v>28</v>
      </c>
      <c r="D112" s="207">
        <v>3293</v>
      </c>
      <c r="E112" s="213" t="s">
        <v>69</v>
      </c>
      <c r="F112" s="189" t="s">
        <v>704</v>
      </c>
      <c r="G112" s="234">
        <v>1200</v>
      </c>
      <c r="H112" s="470">
        <f>838+205.5</f>
        <v>1043.5</v>
      </c>
      <c r="I112" s="465">
        <v>600</v>
      </c>
    </row>
    <row r="113" spans="1:9" ht="25.5">
      <c r="A113" s="246" t="s">
        <v>50</v>
      </c>
      <c r="B113" s="201">
        <v>43</v>
      </c>
      <c r="C113" s="191" t="s">
        <v>28</v>
      </c>
      <c r="D113" s="207">
        <v>4221</v>
      </c>
      <c r="E113" s="213" t="s">
        <v>64</v>
      </c>
      <c r="F113" s="189" t="s">
        <v>704</v>
      </c>
      <c r="G113" s="234">
        <v>2700</v>
      </c>
      <c r="H113" s="470"/>
      <c r="I113" s="465"/>
    </row>
    <row r="114" spans="1:9" ht="25.5">
      <c r="A114" s="246" t="s">
        <v>50</v>
      </c>
      <c r="B114" s="201">
        <v>43</v>
      </c>
      <c r="C114" s="191" t="s">
        <v>28</v>
      </c>
      <c r="D114" s="207">
        <v>3237</v>
      </c>
      <c r="E114" s="213" t="s">
        <v>63</v>
      </c>
      <c r="F114" s="189" t="s">
        <v>704</v>
      </c>
      <c r="G114" s="234">
        <v>78400</v>
      </c>
      <c r="H114" s="470">
        <v>6721.19</v>
      </c>
      <c r="I114" s="465">
        <v>7000</v>
      </c>
    </row>
    <row r="115" spans="1:9" ht="25.5">
      <c r="A115" s="247" t="s">
        <v>50</v>
      </c>
      <c r="B115" s="202">
        <v>43</v>
      </c>
      <c r="C115" s="193" t="s">
        <v>28</v>
      </c>
      <c r="D115" s="208"/>
      <c r="E115" s="214" t="s">
        <v>171</v>
      </c>
      <c r="F115" s="194" t="s">
        <v>704</v>
      </c>
      <c r="G115" s="235">
        <f>SUM(G104:G114)</f>
        <v>177900</v>
      </c>
      <c r="H115" s="235">
        <f t="shared" ref="H115:I115" si="1">SUM(H104:H114)</f>
        <v>53536.159999999996</v>
      </c>
      <c r="I115" s="248">
        <f t="shared" si="1"/>
        <v>96100</v>
      </c>
    </row>
    <row r="116" spans="1:9" ht="25.5">
      <c r="A116" s="246" t="s">
        <v>50</v>
      </c>
      <c r="B116" s="201">
        <v>43</v>
      </c>
      <c r="C116" s="191" t="s">
        <v>28</v>
      </c>
      <c r="D116" s="207">
        <v>3111</v>
      </c>
      <c r="E116" s="213" t="s">
        <v>51</v>
      </c>
      <c r="F116" s="447" t="s">
        <v>703</v>
      </c>
      <c r="G116" s="234">
        <v>5315000</v>
      </c>
      <c r="H116" s="470">
        <f>4971570.97-33883.24</f>
        <v>4937687.7299999995</v>
      </c>
      <c r="I116" s="465">
        <f>5848000+114000</f>
        <v>5962000</v>
      </c>
    </row>
    <row r="117" spans="1:9" ht="25.5">
      <c r="A117" s="246" t="s">
        <v>50</v>
      </c>
      <c r="B117" s="201">
        <v>43</v>
      </c>
      <c r="C117" s="191" t="s">
        <v>28</v>
      </c>
      <c r="D117" s="207">
        <v>3121</v>
      </c>
      <c r="E117" s="213" t="s">
        <v>52</v>
      </c>
      <c r="F117" s="447" t="s">
        <v>703</v>
      </c>
      <c r="G117" s="234">
        <v>439050</v>
      </c>
      <c r="H117" s="470">
        <f>235495.35+50730+3651.4+4500+14350</f>
        <v>308726.75</v>
      </c>
      <c r="I117" s="465">
        <f>537000+5500</f>
        <v>542500</v>
      </c>
    </row>
    <row r="118" spans="1:9" ht="25.5">
      <c r="A118" s="246" t="s">
        <v>50</v>
      </c>
      <c r="B118" s="201">
        <v>43</v>
      </c>
      <c r="C118" s="191" t="s">
        <v>28</v>
      </c>
      <c r="D118" s="207">
        <v>3132</v>
      </c>
      <c r="E118" s="213" t="s">
        <v>53</v>
      </c>
      <c r="F118" s="447" t="s">
        <v>703</v>
      </c>
      <c r="G118" s="234">
        <v>886489</v>
      </c>
      <c r="H118" s="470">
        <f>816191.19-3540.16</f>
        <v>812651.02999999991</v>
      </c>
      <c r="I118" s="465">
        <f>964500+19500</f>
        <v>984000</v>
      </c>
    </row>
    <row r="119" spans="1:9" ht="25.5">
      <c r="A119" s="246" t="s">
        <v>50</v>
      </c>
      <c r="B119" s="201">
        <v>43</v>
      </c>
      <c r="C119" s="191" t="s">
        <v>28</v>
      </c>
      <c r="D119" s="207">
        <v>3211</v>
      </c>
      <c r="E119" s="213" t="s">
        <v>61</v>
      </c>
      <c r="F119" s="447" t="s">
        <v>703</v>
      </c>
      <c r="G119" s="234">
        <v>449742</v>
      </c>
      <c r="H119" s="470">
        <f>6590+8597.65+1596+4465.82+27562+1516.9+693+5949+2995.6+4395.83+46.87+307.84+128.58-1901.08</f>
        <v>62944.01</v>
      </c>
      <c r="I119" s="465">
        <v>100500</v>
      </c>
    </row>
    <row r="120" spans="1:9" ht="25.5">
      <c r="A120" s="246" t="s">
        <v>50</v>
      </c>
      <c r="B120" s="201">
        <v>43</v>
      </c>
      <c r="C120" s="191" t="s">
        <v>28</v>
      </c>
      <c r="D120" s="207">
        <v>3212</v>
      </c>
      <c r="E120" s="213" t="s">
        <v>54</v>
      </c>
      <c r="F120" s="447" t="s">
        <v>703</v>
      </c>
      <c r="G120" s="234">
        <v>900</v>
      </c>
      <c r="H120" s="470">
        <v>1688.58</v>
      </c>
      <c r="I120" s="465">
        <v>3000</v>
      </c>
    </row>
    <row r="121" spans="1:9" ht="25.5">
      <c r="A121" s="246" t="s">
        <v>50</v>
      </c>
      <c r="B121" s="201">
        <v>43</v>
      </c>
      <c r="C121" s="191" t="s">
        <v>28</v>
      </c>
      <c r="D121" s="207">
        <v>3213</v>
      </c>
      <c r="E121" s="213" t="s">
        <v>65</v>
      </c>
      <c r="F121" s="447" t="s">
        <v>703</v>
      </c>
      <c r="G121" s="234">
        <v>114000</v>
      </c>
      <c r="H121" s="470">
        <f>34479.71+16680</f>
        <v>51159.71</v>
      </c>
      <c r="I121" s="465">
        <v>58000</v>
      </c>
    </row>
    <row r="122" spans="1:9" ht="25.5">
      <c r="A122" s="246" t="s">
        <v>50</v>
      </c>
      <c r="B122" s="201">
        <v>43</v>
      </c>
      <c r="C122" s="191" t="s">
        <v>28</v>
      </c>
      <c r="D122" s="207">
        <v>3214</v>
      </c>
      <c r="E122" s="213" t="s">
        <v>76</v>
      </c>
      <c r="F122" s="447" t="s">
        <v>703</v>
      </c>
      <c r="G122" s="234">
        <v>3000</v>
      </c>
      <c r="H122" s="470"/>
      <c r="I122" s="465"/>
    </row>
    <row r="123" spans="1:9" ht="25.5">
      <c r="A123" s="246" t="s">
        <v>50</v>
      </c>
      <c r="B123" s="201">
        <v>43</v>
      </c>
      <c r="C123" s="191" t="s">
        <v>28</v>
      </c>
      <c r="D123" s="207">
        <v>3221</v>
      </c>
      <c r="E123" s="213" t="s">
        <v>66</v>
      </c>
      <c r="F123" s="447" t="s">
        <v>703</v>
      </c>
      <c r="G123" s="234">
        <v>203000</v>
      </c>
      <c r="H123" s="470">
        <f>22669.35+14278.08+21720.35+17456.59+24062.5</f>
        <v>100186.87</v>
      </c>
      <c r="I123" s="465">
        <v>154100</v>
      </c>
    </row>
    <row r="124" spans="1:9" ht="25.5">
      <c r="A124" s="246" t="s">
        <v>50</v>
      </c>
      <c r="B124" s="201">
        <v>43</v>
      </c>
      <c r="C124" s="191" t="s">
        <v>28</v>
      </c>
      <c r="D124" s="207">
        <v>3222</v>
      </c>
      <c r="E124" s="213" t="s">
        <v>77</v>
      </c>
      <c r="F124" s="447" t="s">
        <v>703</v>
      </c>
      <c r="G124" s="234"/>
      <c r="H124" s="470"/>
      <c r="I124" s="465"/>
    </row>
    <row r="125" spans="1:9" ht="25.5">
      <c r="A125" s="246" t="s">
        <v>50</v>
      </c>
      <c r="B125" s="201">
        <v>43</v>
      </c>
      <c r="C125" s="191" t="s">
        <v>28</v>
      </c>
      <c r="D125" s="207">
        <v>3223</v>
      </c>
      <c r="E125" s="213" t="s">
        <v>78</v>
      </c>
      <c r="F125" s="447" t="s">
        <v>703</v>
      </c>
      <c r="G125" s="234">
        <v>142000</v>
      </c>
      <c r="H125" s="470">
        <f>45316.37+60952.48</f>
        <v>106268.85</v>
      </c>
      <c r="I125" s="465">
        <v>266000</v>
      </c>
    </row>
    <row r="126" spans="1:9" ht="25.5">
      <c r="A126" s="246" t="s">
        <v>50</v>
      </c>
      <c r="B126" s="201">
        <v>43</v>
      </c>
      <c r="C126" s="191" t="s">
        <v>28</v>
      </c>
      <c r="D126" s="207">
        <v>3224</v>
      </c>
      <c r="E126" s="213" t="s">
        <v>62</v>
      </c>
      <c r="F126" s="447" t="s">
        <v>703</v>
      </c>
      <c r="G126" s="234">
        <v>50000</v>
      </c>
      <c r="H126" s="470">
        <v>43178.02</v>
      </c>
      <c r="I126" s="465">
        <v>78500</v>
      </c>
    </row>
    <row r="127" spans="1:9" ht="25.5">
      <c r="A127" s="246" t="s">
        <v>50</v>
      </c>
      <c r="B127" s="201">
        <v>43</v>
      </c>
      <c r="C127" s="191" t="s">
        <v>28</v>
      </c>
      <c r="D127" s="207">
        <v>3225</v>
      </c>
      <c r="E127" s="213" t="s">
        <v>79</v>
      </c>
      <c r="F127" s="447" t="s">
        <v>703</v>
      </c>
      <c r="G127" s="234">
        <v>7000</v>
      </c>
      <c r="H127" s="470">
        <v>7386.81</v>
      </c>
      <c r="I127" s="465">
        <v>9500</v>
      </c>
    </row>
    <row r="128" spans="1:9" ht="25.5">
      <c r="A128" s="246" t="s">
        <v>50</v>
      </c>
      <c r="B128" s="201">
        <v>43</v>
      </c>
      <c r="C128" s="191" t="s">
        <v>28</v>
      </c>
      <c r="D128" s="207">
        <v>3227</v>
      </c>
      <c r="E128" s="213" t="s">
        <v>90</v>
      </c>
      <c r="F128" s="447" t="s">
        <v>703</v>
      </c>
      <c r="G128" s="234">
        <v>8000</v>
      </c>
      <c r="H128" s="470">
        <v>4320.9799999999996</v>
      </c>
      <c r="I128" s="465">
        <v>6000</v>
      </c>
    </row>
    <row r="129" spans="1:9" ht="25.5">
      <c r="A129" s="246" t="s">
        <v>50</v>
      </c>
      <c r="B129" s="201">
        <v>43</v>
      </c>
      <c r="C129" s="191" t="s">
        <v>28</v>
      </c>
      <c r="D129" s="207">
        <v>3231</v>
      </c>
      <c r="E129" s="213" t="s">
        <v>80</v>
      </c>
      <c r="F129" s="447" t="s">
        <v>703</v>
      </c>
      <c r="G129" s="234">
        <v>114000</v>
      </c>
      <c r="H129" s="470">
        <f>22494.76+51937.5+19077.9</f>
        <v>93510.16</v>
      </c>
      <c r="I129" s="465">
        <v>153000</v>
      </c>
    </row>
    <row r="130" spans="1:9" ht="25.5">
      <c r="A130" s="246" t="s">
        <v>50</v>
      </c>
      <c r="B130" s="201">
        <v>43</v>
      </c>
      <c r="C130" s="191" t="s">
        <v>28</v>
      </c>
      <c r="D130" s="207">
        <v>3232</v>
      </c>
      <c r="E130" s="213" t="s">
        <v>81</v>
      </c>
      <c r="F130" s="447" t="s">
        <v>703</v>
      </c>
      <c r="G130" s="234">
        <v>558000</v>
      </c>
      <c r="H130" s="470">
        <f>44703.46+61560.64</f>
        <v>106264.1</v>
      </c>
      <c r="I130" s="465">
        <v>227000</v>
      </c>
    </row>
    <row r="131" spans="1:9" ht="25.5">
      <c r="A131" s="246" t="s">
        <v>50</v>
      </c>
      <c r="B131" s="201">
        <v>43</v>
      </c>
      <c r="C131" s="191" t="s">
        <v>28</v>
      </c>
      <c r="D131" s="207">
        <v>3233</v>
      </c>
      <c r="E131" s="213" t="s">
        <v>82</v>
      </c>
      <c r="F131" s="447" t="s">
        <v>703</v>
      </c>
      <c r="G131" s="234">
        <v>107400</v>
      </c>
      <c r="H131" s="470">
        <f>9025+48824.02+4090-4090</f>
        <v>57849.02</v>
      </c>
      <c r="I131" s="465">
        <v>71000</v>
      </c>
    </row>
    <row r="132" spans="1:9" ht="25.5">
      <c r="A132" s="246" t="s">
        <v>50</v>
      </c>
      <c r="B132" s="201">
        <v>43</v>
      </c>
      <c r="C132" s="191" t="s">
        <v>28</v>
      </c>
      <c r="D132" s="207">
        <v>3234</v>
      </c>
      <c r="E132" s="213" t="s">
        <v>88</v>
      </c>
      <c r="F132" s="447" t="s">
        <v>703</v>
      </c>
      <c r="G132" s="234">
        <v>52500</v>
      </c>
      <c r="H132" s="470">
        <f>12415.22+4437.9+25199.95</f>
        <v>42053.07</v>
      </c>
      <c r="I132" s="465">
        <v>60900</v>
      </c>
    </row>
    <row r="133" spans="1:9" ht="25.5">
      <c r="A133" s="246" t="s">
        <v>50</v>
      </c>
      <c r="B133" s="201">
        <v>43</v>
      </c>
      <c r="C133" s="191" t="s">
        <v>28</v>
      </c>
      <c r="D133" s="207">
        <v>3235</v>
      </c>
      <c r="E133" s="213" t="s">
        <v>89</v>
      </c>
      <c r="F133" s="447" t="s">
        <v>703</v>
      </c>
      <c r="G133" s="234">
        <v>181100</v>
      </c>
      <c r="H133" s="470">
        <f>66050+31001.97+11490.34</f>
        <v>108542.31</v>
      </c>
      <c r="I133" s="465">
        <v>164000</v>
      </c>
    </row>
    <row r="134" spans="1:9" ht="25.5">
      <c r="A134" s="246" t="s">
        <v>50</v>
      </c>
      <c r="B134" s="201">
        <v>43</v>
      </c>
      <c r="C134" s="191" t="s">
        <v>28</v>
      </c>
      <c r="D134" s="207">
        <v>3236</v>
      </c>
      <c r="E134" s="213" t="s">
        <v>55</v>
      </c>
      <c r="F134" s="447" t="s">
        <v>703</v>
      </c>
      <c r="G134" s="234">
        <v>134000</v>
      </c>
      <c r="H134" s="470">
        <v>101565.46</v>
      </c>
      <c r="I134" s="465">
        <v>106500</v>
      </c>
    </row>
    <row r="135" spans="1:9" ht="25.5">
      <c r="A135" s="246" t="s">
        <v>50</v>
      </c>
      <c r="B135" s="201">
        <v>43</v>
      </c>
      <c r="C135" s="191" t="s">
        <v>28</v>
      </c>
      <c r="D135" s="207">
        <v>3237</v>
      </c>
      <c r="E135" s="213" t="s">
        <v>63</v>
      </c>
      <c r="F135" s="447" t="s">
        <v>703</v>
      </c>
      <c r="G135" s="234">
        <v>525200</v>
      </c>
      <c r="H135" s="470">
        <f>2226.7+1788.28+1608.18+5755.28+33261.56+18401.06+38126.85+2932.99+59678.29+6401.98+49197.7+78022.66+617.45+2286.88+8083.19+10457.16+7700-6721.19</f>
        <v>319825.02</v>
      </c>
      <c r="I135" s="465">
        <v>427500</v>
      </c>
    </row>
    <row r="136" spans="1:9" ht="25.5">
      <c r="A136" s="246" t="s">
        <v>50</v>
      </c>
      <c r="B136" s="201">
        <v>43</v>
      </c>
      <c r="C136" s="191" t="s">
        <v>28</v>
      </c>
      <c r="D136" s="207">
        <v>3238</v>
      </c>
      <c r="E136" s="213" t="s">
        <v>83</v>
      </c>
      <c r="F136" s="447" t="s">
        <v>703</v>
      </c>
      <c r="G136" s="234">
        <v>49000</v>
      </c>
      <c r="H136" s="470">
        <v>37942.800000000003</v>
      </c>
      <c r="I136" s="465">
        <v>52000</v>
      </c>
    </row>
    <row r="137" spans="1:9" ht="25.5">
      <c r="A137" s="246" t="s">
        <v>50</v>
      </c>
      <c r="B137" s="201">
        <v>43</v>
      </c>
      <c r="C137" s="191" t="s">
        <v>28</v>
      </c>
      <c r="D137" s="207">
        <v>3239</v>
      </c>
      <c r="E137" s="213" t="s">
        <v>67</v>
      </c>
      <c r="F137" s="447" t="s">
        <v>703</v>
      </c>
      <c r="G137" s="234">
        <v>103800</v>
      </c>
      <c r="H137" s="470">
        <f>67658.57+4756.25+17867.69-2356.99</f>
        <v>87925.52</v>
      </c>
      <c r="I137" s="465">
        <v>185700</v>
      </c>
    </row>
    <row r="138" spans="1:9" ht="25.5">
      <c r="A138" s="246" t="s">
        <v>50</v>
      </c>
      <c r="B138" s="201">
        <v>43</v>
      </c>
      <c r="C138" s="191" t="s">
        <v>28</v>
      </c>
      <c r="D138" s="207">
        <v>3241</v>
      </c>
      <c r="E138" s="213" t="s">
        <v>68</v>
      </c>
      <c r="F138" s="447" t="s">
        <v>703</v>
      </c>
      <c r="G138" s="234">
        <v>199000</v>
      </c>
      <c r="H138" s="470">
        <f>6861.07+3824.24+746.16+13285.22+1241.84+8316+5682.48+713.36</f>
        <v>40670.369999999995</v>
      </c>
      <c r="I138" s="465">
        <v>50500</v>
      </c>
    </row>
    <row r="139" spans="1:9" ht="25.5">
      <c r="A139" s="246" t="s">
        <v>50</v>
      </c>
      <c r="B139" s="201">
        <v>43</v>
      </c>
      <c r="C139" s="191" t="s">
        <v>28</v>
      </c>
      <c r="D139" s="207">
        <v>3291</v>
      </c>
      <c r="E139" s="213" t="s">
        <v>96</v>
      </c>
      <c r="F139" s="447" t="s">
        <v>703</v>
      </c>
      <c r="G139" s="234"/>
      <c r="H139" s="470"/>
      <c r="I139" s="465"/>
    </row>
    <row r="140" spans="1:9" ht="25.5">
      <c r="A140" s="246" t="s">
        <v>50</v>
      </c>
      <c r="B140" s="201">
        <v>43</v>
      </c>
      <c r="C140" s="191" t="s">
        <v>28</v>
      </c>
      <c r="D140" s="207">
        <v>3292</v>
      </c>
      <c r="E140" s="213" t="s">
        <v>60</v>
      </c>
      <c r="F140" s="447" t="s">
        <v>703</v>
      </c>
      <c r="G140" s="234"/>
      <c r="H140" s="470">
        <v>37074.699999999997</v>
      </c>
      <c r="I140" s="465">
        <v>39000</v>
      </c>
    </row>
    <row r="141" spans="1:9" ht="25.5">
      <c r="A141" s="246" t="s">
        <v>50</v>
      </c>
      <c r="B141" s="201">
        <v>43</v>
      </c>
      <c r="C141" s="191" t="s">
        <v>28</v>
      </c>
      <c r="D141" s="209">
        <v>3293</v>
      </c>
      <c r="E141" s="213" t="s">
        <v>69</v>
      </c>
      <c r="F141" s="447" t="s">
        <v>703</v>
      </c>
      <c r="G141" s="234">
        <v>163000</v>
      </c>
      <c r="H141" s="470">
        <f>61837.4-838-205.5</f>
        <v>60793.9</v>
      </c>
      <c r="I141" s="465">
        <v>132500</v>
      </c>
    </row>
    <row r="142" spans="1:9" ht="25.5">
      <c r="A142" s="246" t="s">
        <v>50</v>
      </c>
      <c r="B142" s="201">
        <v>43</v>
      </c>
      <c r="C142" s="191" t="s">
        <v>28</v>
      </c>
      <c r="D142" s="207">
        <v>3294</v>
      </c>
      <c r="E142" s="213" t="s">
        <v>70</v>
      </c>
      <c r="F142" s="447" t="s">
        <v>703</v>
      </c>
      <c r="G142" s="234">
        <v>43000</v>
      </c>
      <c r="H142" s="470">
        <f>6180.3+23375.38</f>
        <v>29555.68</v>
      </c>
      <c r="I142" s="465">
        <v>71000</v>
      </c>
    </row>
    <row r="143" spans="1:9" ht="25.5">
      <c r="A143" s="246" t="s">
        <v>50</v>
      </c>
      <c r="B143" s="201">
        <v>43</v>
      </c>
      <c r="C143" s="191" t="s">
        <v>28</v>
      </c>
      <c r="D143" s="207">
        <v>3295</v>
      </c>
      <c r="E143" s="213" t="s">
        <v>56</v>
      </c>
      <c r="F143" s="447" t="s">
        <v>703</v>
      </c>
      <c r="G143" s="234">
        <v>4000</v>
      </c>
      <c r="H143" s="470">
        <f>20+793.75+40</f>
        <v>853.75</v>
      </c>
      <c r="I143" s="465">
        <v>3500</v>
      </c>
    </row>
    <row r="144" spans="1:9" ht="25.5">
      <c r="A144" s="246" t="s">
        <v>50</v>
      </c>
      <c r="B144" s="201">
        <v>43</v>
      </c>
      <c r="C144" s="191" t="s">
        <v>28</v>
      </c>
      <c r="D144" s="207">
        <v>3296</v>
      </c>
      <c r="E144" s="213" t="s">
        <v>101</v>
      </c>
      <c r="F144" s="447" t="s">
        <v>703</v>
      </c>
      <c r="G144" s="234"/>
      <c r="H144" s="470"/>
      <c r="I144" s="465"/>
    </row>
    <row r="145" spans="1:9" ht="25.5">
      <c r="A145" s="246" t="s">
        <v>50</v>
      </c>
      <c r="B145" s="201">
        <v>43</v>
      </c>
      <c r="C145" s="191" t="s">
        <v>28</v>
      </c>
      <c r="D145" s="207">
        <v>3299</v>
      </c>
      <c r="E145" s="213" t="s">
        <v>58</v>
      </c>
      <c r="F145" s="447" t="s">
        <v>703</v>
      </c>
      <c r="G145" s="234">
        <v>617000</v>
      </c>
      <c r="H145" s="470">
        <v>333223.18</v>
      </c>
      <c r="I145" s="465">
        <v>406500</v>
      </c>
    </row>
    <row r="146" spans="1:9" ht="25.5">
      <c r="A146" s="246" t="s">
        <v>50</v>
      </c>
      <c r="B146" s="201">
        <v>43</v>
      </c>
      <c r="C146" s="191" t="s">
        <v>28</v>
      </c>
      <c r="D146" s="207">
        <v>3431</v>
      </c>
      <c r="E146" s="213" t="s">
        <v>71</v>
      </c>
      <c r="F146" s="447" t="s">
        <v>703</v>
      </c>
      <c r="G146" s="234">
        <v>138000</v>
      </c>
      <c r="H146" s="470">
        <f>52412.24+22710.42</f>
        <v>75122.66</v>
      </c>
      <c r="I146" s="465">
        <v>104500</v>
      </c>
    </row>
    <row r="147" spans="1:9" ht="25.5">
      <c r="A147" s="246" t="s">
        <v>50</v>
      </c>
      <c r="B147" s="201">
        <v>43</v>
      </c>
      <c r="C147" s="191" t="s">
        <v>28</v>
      </c>
      <c r="D147" s="207">
        <v>3432</v>
      </c>
      <c r="E147" s="213" t="s">
        <v>72</v>
      </c>
      <c r="F147" s="447" t="s">
        <v>703</v>
      </c>
      <c r="G147" s="234"/>
      <c r="H147" s="470">
        <v>741.8</v>
      </c>
      <c r="I147" s="465"/>
    </row>
    <row r="148" spans="1:9" ht="25.5">
      <c r="A148" s="246" t="s">
        <v>50</v>
      </c>
      <c r="B148" s="201">
        <v>43</v>
      </c>
      <c r="C148" s="191" t="s">
        <v>28</v>
      </c>
      <c r="D148" s="207">
        <v>3433</v>
      </c>
      <c r="E148" s="213" t="s">
        <v>97</v>
      </c>
      <c r="F148" s="447" t="s">
        <v>703</v>
      </c>
      <c r="G148" s="234">
        <v>4200</v>
      </c>
      <c r="H148" s="470"/>
      <c r="I148" s="465">
        <v>500</v>
      </c>
    </row>
    <row r="149" spans="1:9" ht="25.5">
      <c r="A149" s="246" t="s">
        <v>50</v>
      </c>
      <c r="B149" s="201">
        <v>43</v>
      </c>
      <c r="C149" s="191" t="s">
        <v>28</v>
      </c>
      <c r="D149" s="207">
        <v>3434</v>
      </c>
      <c r="E149" s="213" t="s">
        <v>98</v>
      </c>
      <c r="F149" s="447" t="s">
        <v>703</v>
      </c>
      <c r="G149" s="234">
        <v>1000</v>
      </c>
      <c r="H149" s="470"/>
      <c r="I149" s="465">
        <v>1500</v>
      </c>
    </row>
    <row r="150" spans="1:9" ht="25.5">
      <c r="A150" s="246" t="s">
        <v>50</v>
      </c>
      <c r="B150" s="201">
        <v>43</v>
      </c>
      <c r="C150" s="191" t="s">
        <v>28</v>
      </c>
      <c r="D150" s="207">
        <v>3721</v>
      </c>
      <c r="E150" s="213" t="s">
        <v>85</v>
      </c>
      <c r="F150" s="447" t="s">
        <v>703</v>
      </c>
      <c r="G150" s="234">
        <v>25000</v>
      </c>
      <c r="H150" s="470">
        <v>13508.08</v>
      </c>
      <c r="I150" s="465">
        <v>14000</v>
      </c>
    </row>
    <row r="151" spans="1:9" ht="25.5">
      <c r="A151" s="246" t="s">
        <v>50</v>
      </c>
      <c r="B151" s="201">
        <v>43</v>
      </c>
      <c r="C151" s="191" t="s">
        <v>28</v>
      </c>
      <c r="D151" s="207">
        <v>3811</v>
      </c>
      <c r="E151" s="213" t="s">
        <v>57</v>
      </c>
      <c r="F151" s="447" t="s">
        <v>703</v>
      </c>
      <c r="G151" s="234">
        <v>32000</v>
      </c>
      <c r="H151" s="470">
        <v>24900</v>
      </c>
      <c r="I151" s="465">
        <v>35000</v>
      </c>
    </row>
    <row r="152" spans="1:9" ht="25.5">
      <c r="A152" s="246" t="s">
        <v>50</v>
      </c>
      <c r="B152" s="201">
        <v>43</v>
      </c>
      <c r="C152" s="191" t="s">
        <v>28</v>
      </c>
      <c r="D152" s="207">
        <v>3812</v>
      </c>
      <c r="E152" s="213" t="s">
        <v>102</v>
      </c>
      <c r="F152" s="447" t="s">
        <v>703</v>
      </c>
      <c r="G152" s="234">
        <v>3000</v>
      </c>
      <c r="H152" s="470"/>
      <c r="I152" s="465">
        <v>1000</v>
      </c>
    </row>
    <row r="153" spans="1:9" ht="25.5">
      <c r="A153" s="246" t="s">
        <v>50</v>
      </c>
      <c r="B153" s="201">
        <v>43</v>
      </c>
      <c r="C153" s="191" t="s">
        <v>28</v>
      </c>
      <c r="D153" s="207">
        <v>4123</v>
      </c>
      <c r="E153" s="213" t="s">
        <v>93</v>
      </c>
      <c r="F153" s="447" t="s">
        <v>703</v>
      </c>
      <c r="G153" s="234"/>
      <c r="H153" s="470"/>
      <c r="I153" s="465"/>
    </row>
    <row r="154" spans="1:9" ht="25.5">
      <c r="A154" s="246" t="s">
        <v>50</v>
      </c>
      <c r="B154" s="201">
        <v>43</v>
      </c>
      <c r="C154" s="191" t="s">
        <v>28</v>
      </c>
      <c r="D154" s="207">
        <v>4124</v>
      </c>
      <c r="E154" s="213" t="s">
        <v>95</v>
      </c>
      <c r="F154" s="447" t="s">
        <v>703</v>
      </c>
      <c r="G154" s="234"/>
      <c r="H154" s="470"/>
      <c r="I154" s="465"/>
    </row>
    <row r="155" spans="1:9" ht="25.5">
      <c r="A155" s="246" t="s">
        <v>50</v>
      </c>
      <c r="B155" s="201">
        <v>43</v>
      </c>
      <c r="C155" s="191" t="s">
        <v>28</v>
      </c>
      <c r="D155" s="207">
        <v>4212</v>
      </c>
      <c r="E155" s="213" t="s">
        <v>59</v>
      </c>
      <c r="F155" s="447" t="s">
        <v>703</v>
      </c>
      <c r="G155" s="234">
        <v>5800000</v>
      </c>
      <c r="H155" s="470"/>
      <c r="I155" s="465"/>
    </row>
    <row r="156" spans="1:9" ht="25.5">
      <c r="A156" s="246" t="s">
        <v>50</v>
      </c>
      <c r="B156" s="201">
        <v>43</v>
      </c>
      <c r="C156" s="191" t="s">
        <v>28</v>
      </c>
      <c r="D156" s="207">
        <v>4221</v>
      </c>
      <c r="E156" s="213" t="s">
        <v>64</v>
      </c>
      <c r="F156" s="447" t="s">
        <v>703</v>
      </c>
      <c r="G156" s="234">
        <v>197500</v>
      </c>
      <c r="H156" s="470">
        <f>35310+3929.95</f>
        <v>39239.949999999997</v>
      </c>
      <c r="I156" s="465">
        <v>134000</v>
      </c>
    </row>
    <row r="157" spans="1:9" ht="25.5">
      <c r="A157" s="246" t="s">
        <v>50</v>
      </c>
      <c r="B157" s="201">
        <v>43</v>
      </c>
      <c r="C157" s="191" t="s">
        <v>28</v>
      </c>
      <c r="D157" s="207">
        <v>4222</v>
      </c>
      <c r="E157" s="213" t="s">
        <v>73</v>
      </c>
      <c r="F157" s="447" t="s">
        <v>703</v>
      </c>
      <c r="G157" s="234">
        <v>2000</v>
      </c>
      <c r="H157" s="470">
        <v>222.25</v>
      </c>
      <c r="I157" s="465">
        <v>2000</v>
      </c>
    </row>
    <row r="158" spans="1:9" ht="25.5">
      <c r="A158" s="246" t="s">
        <v>50</v>
      </c>
      <c r="B158" s="201">
        <v>43</v>
      </c>
      <c r="C158" s="191" t="s">
        <v>28</v>
      </c>
      <c r="D158" s="207">
        <v>4223</v>
      </c>
      <c r="E158" s="213" t="s">
        <v>91</v>
      </c>
      <c r="F158" s="447" t="s">
        <v>703</v>
      </c>
      <c r="G158" s="234">
        <v>20000</v>
      </c>
      <c r="H158" s="470">
        <v>3495.63</v>
      </c>
      <c r="I158" s="465">
        <v>4000</v>
      </c>
    </row>
    <row r="159" spans="1:9" ht="25.5">
      <c r="A159" s="246" t="s">
        <v>50</v>
      </c>
      <c r="B159" s="201">
        <v>43</v>
      </c>
      <c r="C159" s="191" t="s">
        <v>28</v>
      </c>
      <c r="D159" s="207">
        <v>4224</v>
      </c>
      <c r="E159" s="213" t="s">
        <v>74</v>
      </c>
      <c r="F159" s="447" t="s">
        <v>703</v>
      </c>
      <c r="G159" s="234"/>
      <c r="H159" s="470"/>
      <c r="I159" s="465"/>
    </row>
    <row r="160" spans="1:9" ht="25.5">
      <c r="A160" s="246" t="s">
        <v>50</v>
      </c>
      <c r="B160" s="201">
        <v>43</v>
      </c>
      <c r="C160" s="191" t="s">
        <v>28</v>
      </c>
      <c r="D160" s="207">
        <v>4225</v>
      </c>
      <c r="E160" s="213" t="s">
        <v>86</v>
      </c>
      <c r="F160" s="447" t="s">
        <v>703</v>
      </c>
      <c r="G160" s="234">
        <v>30000</v>
      </c>
      <c r="H160" s="470"/>
      <c r="I160" s="465"/>
    </row>
    <row r="161" spans="1:11" ht="25.5">
      <c r="A161" s="246" t="s">
        <v>50</v>
      </c>
      <c r="B161" s="201">
        <v>43</v>
      </c>
      <c r="C161" s="191" t="s">
        <v>28</v>
      </c>
      <c r="D161" s="207">
        <v>4226</v>
      </c>
      <c r="E161" s="213" t="s">
        <v>103</v>
      </c>
      <c r="F161" s="447" t="s">
        <v>703</v>
      </c>
      <c r="G161" s="234"/>
      <c r="H161" s="470"/>
      <c r="I161" s="465"/>
    </row>
    <row r="162" spans="1:11" ht="25.5">
      <c r="A162" s="246" t="s">
        <v>50</v>
      </c>
      <c r="B162" s="201">
        <v>43</v>
      </c>
      <c r="C162" s="191" t="s">
        <v>28</v>
      </c>
      <c r="D162" s="207">
        <v>4227</v>
      </c>
      <c r="E162" s="213" t="s">
        <v>94</v>
      </c>
      <c r="F162" s="447" t="s">
        <v>703</v>
      </c>
      <c r="G162" s="234"/>
      <c r="H162" s="470">
        <v>549.99</v>
      </c>
      <c r="I162" s="465">
        <v>1000</v>
      </c>
    </row>
    <row r="163" spans="1:11" ht="25.5">
      <c r="A163" s="246" t="s">
        <v>50</v>
      </c>
      <c r="B163" s="201">
        <v>43</v>
      </c>
      <c r="C163" s="191" t="s">
        <v>28</v>
      </c>
      <c r="D163" s="207">
        <v>4231</v>
      </c>
      <c r="E163" s="213" t="s">
        <v>104</v>
      </c>
      <c r="F163" s="447" t="s">
        <v>703</v>
      </c>
      <c r="G163" s="234"/>
      <c r="H163" s="470"/>
      <c r="I163" s="465"/>
    </row>
    <row r="164" spans="1:11" ht="25.5">
      <c r="A164" s="246" t="s">
        <v>50</v>
      </c>
      <c r="B164" s="201">
        <v>43</v>
      </c>
      <c r="C164" s="191" t="s">
        <v>28</v>
      </c>
      <c r="D164" s="207">
        <v>4241</v>
      </c>
      <c r="E164" s="213" t="s">
        <v>75</v>
      </c>
      <c r="F164" s="447" t="s">
        <v>703</v>
      </c>
      <c r="G164" s="234">
        <v>151000</v>
      </c>
      <c r="H164" s="470">
        <v>10874.31</v>
      </c>
      <c r="I164" s="465">
        <v>41000</v>
      </c>
    </row>
    <row r="165" spans="1:11" ht="25.5">
      <c r="A165" s="246" t="s">
        <v>50</v>
      </c>
      <c r="B165" s="201">
        <v>43</v>
      </c>
      <c r="C165" s="191" t="s">
        <v>28</v>
      </c>
      <c r="D165" s="207">
        <v>4262</v>
      </c>
      <c r="E165" s="213" t="s">
        <v>87</v>
      </c>
      <c r="F165" s="447" t="s">
        <v>703</v>
      </c>
      <c r="G165" s="234">
        <v>5000</v>
      </c>
      <c r="H165" s="470"/>
      <c r="I165" s="465"/>
    </row>
    <row r="166" spans="1:11" ht="25.5">
      <c r="A166" s="246" t="s">
        <v>50</v>
      </c>
      <c r="B166" s="201">
        <v>43</v>
      </c>
      <c r="C166" s="191" t="s">
        <v>28</v>
      </c>
      <c r="D166" s="207">
        <v>4511</v>
      </c>
      <c r="E166" s="213" t="s">
        <v>92</v>
      </c>
      <c r="F166" s="447" t="s">
        <v>703</v>
      </c>
      <c r="G166" s="234"/>
      <c r="H166" s="470">
        <v>5500</v>
      </c>
      <c r="I166" s="465">
        <v>5500</v>
      </c>
    </row>
    <row r="167" spans="1:11" ht="25.5">
      <c r="A167" s="247" t="s">
        <v>50</v>
      </c>
      <c r="B167" s="202">
        <v>43</v>
      </c>
      <c r="C167" s="193" t="s">
        <v>28</v>
      </c>
      <c r="D167" s="208"/>
      <c r="E167" s="214" t="s">
        <v>171</v>
      </c>
      <c r="F167" s="194" t="s">
        <v>703</v>
      </c>
      <c r="G167" s="235">
        <f>SUM(G116:G166)</f>
        <v>16877881</v>
      </c>
      <c r="H167" s="235">
        <f t="shared" ref="H167:I167" si="2">SUM(H116:H166)</f>
        <v>8068003.049999998</v>
      </c>
      <c r="I167" s="235">
        <f t="shared" si="2"/>
        <v>10658700</v>
      </c>
    </row>
    <row r="168" spans="1:11" ht="25.5">
      <c r="A168" s="249" t="s">
        <v>50</v>
      </c>
      <c r="B168" s="204">
        <v>43</v>
      </c>
      <c r="C168" s="195" t="s">
        <v>28</v>
      </c>
      <c r="D168" s="211"/>
      <c r="E168" s="216" t="s">
        <v>705</v>
      </c>
      <c r="F168" s="196"/>
      <c r="G168" s="237">
        <f>G115+G167</f>
        <v>17055781</v>
      </c>
      <c r="H168" s="237">
        <f t="shared" ref="H168:I168" si="3">H115+H167</f>
        <v>8121539.2099999981</v>
      </c>
      <c r="I168" s="250">
        <f t="shared" si="3"/>
        <v>10754800</v>
      </c>
      <c r="J168" s="446"/>
      <c r="K168" s="446"/>
    </row>
    <row r="169" spans="1:11">
      <c r="A169" s="246" t="s">
        <v>50</v>
      </c>
      <c r="B169" s="448">
        <v>51</v>
      </c>
      <c r="C169" s="191" t="s">
        <v>31</v>
      </c>
      <c r="D169" s="207">
        <v>3211</v>
      </c>
      <c r="E169" s="213" t="s">
        <v>61</v>
      </c>
      <c r="F169" s="447" t="s">
        <v>703</v>
      </c>
      <c r="G169" s="234"/>
      <c r="H169" s="470"/>
      <c r="I169" s="465"/>
    </row>
    <row r="170" spans="1:11">
      <c r="A170" s="246" t="s">
        <v>50</v>
      </c>
      <c r="B170" s="448">
        <v>51</v>
      </c>
      <c r="C170" s="191" t="s">
        <v>31</v>
      </c>
      <c r="D170" s="207">
        <v>3237</v>
      </c>
      <c r="E170" s="213" t="s">
        <v>63</v>
      </c>
      <c r="F170" s="447" t="s">
        <v>703</v>
      </c>
      <c r="G170" s="234"/>
      <c r="H170" s="470"/>
      <c r="I170" s="465"/>
    </row>
    <row r="171" spans="1:11">
      <c r="A171" s="247" t="s">
        <v>50</v>
      </c>
      <c r="B171" s="202">
        <v>51</v>
      </c>
      <c r="C171" s="193" t="s">
        <v>31</v>
      </c>
      <c r="D171" s="208"/>
      <c r="E171" s="214" t="s">
        <v>171</v>
      </c>
      <c r="F171" s="194" t="s">
        <v>703</v>
      </c>
      <c r="G171" s="235">
        <f>SUM(G169:G170)</f>
        <v>0</v>
      </c>
      <c r="H171" s="235">
        <f t="shared" ref="H171:I171" si="4">SUM(H169:H170)</f>
        <v>0</v>
      </c>
      <c r="I171" s="248">
        <f t="shared" si="4"/>
        <v>0</v>
      </c>
      <c r="K171" s="473"/>
    </row>
    <row r="172" spans="1:11">
      <c r="A172" s="246" t="s">
        <v>50</v>
      </c>
      <c r="B172" s="201">
        <v>51</v>
      </c>
      <c r="C172" s="191" t="s">
        <v>31</v>
      </c>
      <c r="D172" s="207">
        <v>3111</v>
      </c>
      <c r="E172" s="213" t="s">
        <v>51</v>
      </c>
      <c r="F172" s="189" t="s">
        <v>704</v>
      </c>
      <c r="G172" s="234">
        <v>214000</v>
      </c>
      <c r="H172" s="470">
        <v>135532.82</v>
      </c>
      <c r="I172" s="465">
        <f>24500+88500</f>
        <v>113000</v>
      </c>
      <c r="K172" s="148" t="s">
        <v>768</v>
      </c>
    </row>
    <row r="173" spans="1:11" ht="25.5">
      <c r="A173" s="246" t="s">
        <v>50</v>
      </c>
      <c r="B173" s="201">
        <v>51</v>
      </c>
      <c r="C173" s="191" t="s">
        <v>31</v>
      </c>
      <c r="D173" s="207">
        <v>3132</v>
      </c>
      <c r="E173" s="213" t="s">
        <v>53</v>
      </c>
      <c r="F173" s="189" t="s">
        <v>704</v>
      </c>
      <c r="G173" s="234">
        <v>34500</v>
      </c>
      <c r="H173" s="470">
        <v>14160.57</v>
      </c>
      <c r="I173" s="465">
        <f>4500+7000</f>
        <v>11500</v>
      </c>
      <c r="K173" s="148" t="s">
        <v>769</v>
      </c>
    </row>
    <row r="174" spans="1:11">
      <c r="A174" s="246" t="s">
        <v>50</v>
      </c>
      <c r="B174" s="201">
        <v>51</v>
      </c>
      <c r="C174" s="191" t="s">
        <v>31</v>
      </c>
      <c r="D174" s="207">
        <v>3211</v>
      </c>
      <c r="E174" s="213" t="s">
        <v>61</v>
      </c>
      <c r="F174" s="189" t="s">
        <v>704</v>
      </c>
      <c r="G174" s="234">
        <v>20400</v>
      </c>
      <c r="H174" s="470">
        <f>1249.13+902.4+5452.82</f>
        <v>7604.35</v>
      </c>
      <c r="I174" s="465">
        <f>5500+3000</f>
        <v>8500</v>
      </c>
    </row>
    <row r="175" spans="1:11">
      <c r="A175" s="246" t="s">
        <v>50</v>
      </c>
      <c r="B175" s="201">
        <v>51</v>
      </c>
      <c r="C175" s="191" t="s">
        <v>31</v>
      </c>
      <c r="D175" s="207">
        <v>3213</v>
      </c>
      <c r="E175" s="213" t="s">
        <v>65</v>
      </c>
      <c r="F175" s="189" t="s">
        <v>704</v>
      </c>
      <c r="G175" s="234"/>
      <c r="H175" s="470"/>
      <c r="I175" s="465"/>
    </row>
    <row r="176" spans="1:11" ht="25.5">
      <c r="A176" s="246" t="s">
        <v>50</v>
      </c>
      <c r="B176" s="201">
        <v>51</v>
      </c>
      <c r="C176" s="191" t="s">
        <v>31</v>
      </c>
      <c r="D176" s="207">
        <v>3221</v>
      </c>
      <c r="E176" s="213" t="s">
        <v>66</v>
      </c>
      <c r="F176" s="189" t="s">
        <v>704</v>
      </c>
      <c r="G176" s="234"/>
      <c r="H176" s="470"/>
      <c r="I176" s="465"/>
    </row>
    <row r="177" spans="1:11">
      <c r="A177" s="246" t="s">
        <v>50</v>
      </c>
      <c r="B177" s="201">
        <v>51</v>
      </c>
      <c r="C177" s="191" t="s">
        <v>31</v>
      </c>
      <c r="D177" s="207">
        <v>3233</v>
      </c>
      <c r="E177" s="213" t="s">
        <v>82</v>
      </c>
      <c r="F177" s="189" t="s">
        <v>704</v>
      </c>
      <c r="G177" s="234">
        <v>14500</v>
      </c>
      <c r="H177" s="470">
        <v>16360</v>
      </c>
      <c r="I177" s="465">
        <v>16500</v>
      </c>
    </row>
    <row r="178" spans="1:11">
      <c r="A178" s="246" t="s">
        <v>50</v>
      </c>
      <c r="B178" s="201">
        <v>51</v>
      </c>
      <c r="C178" s="191" t="s">
        <v>31</v>
      </c>
      <c r="D178" s="207">
        <v>3235</v>
      </c>
      <c r="E178" s="213" t="s">
        <v>89</v>
      </c>
      <c r="F178" s="189" t="s">
        <v>704</v>
      </c>
      <c r="G178" s="234">
        <v>1500</v>
      </c>
      <c r="H178" s="470"/>
      <c r="I178" s="465"/>
    </row>
    <row r="179" spans="1:11">
      <c r="A179" s="246" t="s">
        <v>50</v>
      </c>
      <c r="B179" s="201">
        <v>51</v>
      </c>
      <c r="C179" s="191" t="s">
        <v>31</v>
      </c>
      <c r="D179" s="207">
        <v>3237</v>
      </c>
      <c r="E179" s="213" t="s">
        <v>63</v>
      </c>
      <c r="F179" s="189" t="s">
        <v>704</v>
      </c>
      <c r="G179" s="234">
        <v>13600</v>
      </c>
      <c r="H179" s="470">
        <f>1208.61+23021.1+185.24+2469.82</f>
        <v>26884.77</v>
      </c>
      <c r="I179" s="465">
        <f>3500+25500</f>
        <v>29000</v>
      </c>
    </row>
    <row r="180" spans="1:11">
      <c r="A180" s="246" t="s">
        <v>50</v>
      </c>
      <c r="B180" s="201">
        <v>51</v>
      </c>
      <c r="C180" s="191" t="s">
        <v>31</v>
      </c>
      <c r="D180" s="207">
        <v>3239</v>
      </c>
      <c r="E180" s="213" t="s">
        <v>67</v>
      </c>
      <c r="F180" s="189" t="s">
        <v>704</v>
      </c>
      <c r="G180" s="234">
        <v>20200</v>
      </c>
      <c r="H180" s="470"/>
      <c r="I180" s="465">
        <v>3000</v>
      </c>
    </row>
    <row r="181" spans="1:11" ht="25.5">
      <c r="A181" s="246" t="s">
        <v>50</v>
      </c>
      <c r="B181" s="201">
        <v>51</v>
      </c>
      <c r="C181" s="191" t="s">
        <v>31</v>
      </c>
      <c r="D181" s="207">
        <v>3241</v>
      </c>
      <c r="E181" s="213" t="s">
        <v>68</v>
      </c>
      <c r="F181" s="189" t="s">
        <v>704</v>
      </c>
      <c r="G181" s="234">
        <v>4000</v>
      </c>
      <c r="H181" s="470"/>
      <c r="I181" s="465"/>
    </row>
    <row r="182" spans="1:11">
      <c r="A182" s="246" t="s">
        <v>50</v>
      </c>
      <c r="B182" s="201">
        <v>51</v>
      </c>
      <c r="C182" s="191" t="s">
        <v>31</v>
      </c>
      <c r="D182" s="207">
        <v>3293</v>
      </c>
      <c r="E182" s="213" t="s">
        <v>69</v>
      </c>
      <c r="F182" s="189" t="s">
        <v>704</v>
      </c>
      <c r="G182" s="234">
        <v>4800</v>
      </c>
      <c r="H182" s="470">
        <v>821.5</v>
      </c>
      <c r="I182" s="465">
        <f>1000+400</f>
        <v>1400</v>
      </c>
    </row>
    <row r="183" spans="1:11" ht="25.5">
      <c r="A183" s="246" t="s">
        <v>50</v>
      </c>
      <c r="B183" s="201">
        <v>51</v>
      </c>
      <c r="C183" s="191" t="s">
        <v>31</v>
      </c>
      <c r="D183" s="207">
        <v>3693</v>
      </c>
      <c r="E183" s="213" t="s">
        <v>84</v>
      </c>
      <c r="F183" s="189" t="s">
        <v>704</v>
      </c>
      <c r="G183" s="234"/>
      <c r="H183" s="470"/>
      <c r="I183" s="465"/>
    </row>
    <row r="184" spans="1:11">
      <c r="A184" s="246" t="s">
        <v>50</v>
      </c>
      <c r="B184" s="201">
        <v>51</v>
      </c>
      <c r="C184" s="191" t="s">
        <v>31</v>
      </c>
      <c r="D184" s="207">
        <v>4212</v>
      </c>
      <c r="E184" s="213" t="s">
        <v>59</v>
      </c>
      <c r="F184" s="189" t="s">
        <v>704</v>
      </c>
      <c r="G184" s="234"/>
      <c r="H184" s="470"/>
      <c r="I184" s="465"/>
    </row>
    <row r="185" spans="1:11">
      <c r="A185" s="246" t="s">
        <v>50</v>
      </c>
      <c r="B185" s="201">
        <v>51</v>
      </c>
      <c r="C185" s="191" t="s">
        <v>31</v>
      </c>
      <c r="D185" s="207">
        <v>4221</v>
      </c>
      <c r="E185" s="213" t="s">
        <v>64</v>
      </c>
      <c r="F185" s="189" t="s">
        <v>704</v>
      </c>
      <c r="G185" s="234">
        <v>10800</v>
      </c>
      <c r="H185" s="470"/>
      <c r="I185" s="465"/>
    </row>
    <row r="186" spans="1:11">
      <c r="A186" s="246" t="s">
        <v>50</v>
      </c>
      <c r="B186" s="201">
        <v>51</v>
      </c>
      <c r="C186" s="191" t="s">
        <v>31</v>
      </c>
      <c r="D186" s="207">
        <v>4222</v>
      </c>
      <c r="E186" s="213" t="s">
        <v>73</v>
      </c>
      <c r="F186" s="189" t="s">
        <v>704</v>
      </c>
      <c r="G186" s="234"/>
      <c r="H186" s="470"/>
      <c r="I186" s="465"/>
    </row>
    <row r="187" spans="1:11">
      <c r="A187" s="246" t="s">
        <v>50</v>
      </c>
      <c r="B187" s="201">
        <v>51</v>
      </c>
      <c r="C187" s="191" t="s">
        <v>31</v>
      </c>
      <c r="D187" s="207">
        <v>4224</v>
      </c>
      <c r="E187" s="213" t="s">
        <v>74</v>
      </c>
      <c r="F187" s="189" t="s">
        <v>704</v>
      </c>
      <c r="G187" s="234"/>
      <c r="H187" s="470"/>
      <c r="I187" s="465"/>
    </row>
    <row r="188" spans="1:11">
      <c r="A188" s="246" t="s">
        <v>50</v>
      </c>
      <c r="B188" s="201">
        <v>51</v>
      </c>
      <c r="C188" s="191" t="s">
        <v>31</v>
      </c>
      <c r="D188" s="207">
        <v>4225</v>
      </c>
      <c r="E188" s="213" t="s">
        <v>86</v>
      </c>
      <c r="F188" s="189" t="s">
        <v>704</v>
      </c>
      <c r="G188" s="234"/>
      <c r="H188" s="470"/>
      <c r="I188" s="465"/>
    </row>
    <row r="189" spans="1:11" ht="25.5">
      <c r="A189" s="246" t="s">
        <v>50</v>
      </c>
      <c r="B189" s="201">
        <v>51</v>
      </c>
      <c r="C189" s="191" t="s">
        <v>31</v>
      </c>
      <c r="D189" s="207">
        <v>4227</v>
      </c>
      <c r="E189" s="213" t="s">
        <v>94</v>
      </c>
      <c r="F189" s="189" t="s">
        <v>704</v>
      </c>
      <c r="G189" s="234"/>
      <c r="H189" s="470"/>
      <c r="I189" s="465"/>
    </row>
    <row r="190" spans="1:11">
      <c r="A190" s="247" t="s">
        <v>50</v>
      </c>
      <c r="B190" s="202">
        <v>51</v>
      </c>
      <c r="C190" s="193" t="s">
        <v>31</v>
      </c>
      <c r="D190" s="208"/>
      <c r="E190" s="214" t="s">
        <v>171</v>
      </c>
      <c r="F190" s="194" t="s">
        <v>704</v>
      </c>
      <c r="G190" s="235">
        <f>SUM(G172:G189)</f>
        <v>338300</v>
      </c>
      <c r="H190" s="235">
        <f t="shared" ref="H190:I190" si="5">SUM(H172:H189)</f>
        <v>201364.01</v>
      </c>
      <c r="I190" s="442">
        <f t="shared" si="5"/>
        <v>182900</v>
      </c>
    </row>
    <row r="191" spans="1:11">
      <c r="A191" s="249" t="s">
        <v>50</v>
      </c>
      <c r="B191" s="204">
        <v>51</v>
      </c>
      <c r="C191" s="195" t="s">
        <v>31</v>
      </c>
      <c r="D191" s="211"/>
      <c r="E191" s="216" t="s">
        <v>706</v>
      </c>
      <c r="F191" s="196"/>
      <c r="G191" s="237">
        <f>G171+G190</f>
        <v>338300</v>
      </c>
      <c r="H191" s="237">
        <f t="shared" ref="H191:I191" si="6">H171+H190</f>
        <v>201364.01</v>
      </c>
      <c r="I191" s="443">
        <f t="shared" si="6"/>
        <v>182900</v>
      </c>
      <c r="K191" s="446">
        <f>+I191+91000</f>
        <v>273900</v>
      </c>
    </row>
    <row r="192" spans="1:11">
      <c r="A192" s="246" t="s">
        <v>50</v>
      </c>
      <c r="B192" s="201">
        <v>52</v>
      </c>
      <c r="C192" s="191" t="s">
        <v>33</v>
      </c>
      <c r="D192" s="207">
        <v>3111</v>
      </c>
      <c r="E192" s="213" t="s">
        <v>51</v>
      </c>
      <c r="F192" s="189" t="s">
        <v>704</v>
      </c>
      <c r="G192" s="234">
        <v>14500</v>
      </c>
      <c r="H192" s="470">
        <v>11796.99</v>
      </c>
      <c r="I192" s="465">
        <v>12000</v>
      </c>
    </row>
    <row r="193" spans="1:11" ht="25.5">
      <c r="A193" s="246" t="s">
        <v>50</v>
      </c>
      <c r="B193" s="201">
        <v>52</v>
      </c>
      <c r="C193" s="191" t="s">
        <v>33</v>
      </c>
      <c r="D193" s="207">
        <v>3132</v>
      </c>
      <c r="E193" s="213" t="s">
        <v>53</v>
      </c>
      <c r="F193" s="189" t="s">
        <v>704</v>
      </c>
      <c r="G193" s="234">
        <v>2500</v>
      </c>
      <c r="H193" s="470">
        <v>1946.5</v>
      </c>
      <c r="I193" s="465">
        <v>2000</v>
      </c>
      <c r="K193" s="148" t="s">
        <v>770</v>
      </c>
    </row>
    <row r="194" spans="1:11">
      <c r="A194" s="246" t="s">
        <v>50</v>
      </c>
      <c r="B194" s="201">
        <v>52</v>
      </c>
      <c r="C194" s="191" t="s">
        <v>33</v>
      </c>
      <c r="D194" s="207">
        <v>3211</v>
      </c>
      <c r="E194" s="213" t="s">
        <v>61</v>
      </c>
      <c r="F194" s="189" t="s">
        <v>704</v>
      </c>
      <c r="G194" s="234">
        <v>101200</v>
      </c>
      <c r="H194" s="470">
        <f>1600+1760+384</f>
        <v>3744</v>
      </c>
      <c r="I194" s="465">
        <v>4500</v>
      </c>
    </row>
    <row r="195" spans="1:11">
      <c r="A195" s="246" t="s">
        <v>50</v>
      </c>
      <c r="B195" s="201">
        <v>52</v>
      </c>
      <c r="C195" s="191" t="s">
        <v>33</v>
      </c>
      <c r="D195" s="207">
        <v>3213</v>
      </c>
      <c r="E195" s="213" t="s">
        <v>65</v>
      </c>
      <c r="F195" s="189" t="s">
        <v>704</v>
      </c>
      <c r="G195" s="234"/>
      <c r="H195" s="470"/>
      <c r="I195" s="465"/>
    </row>
    <row r="196" spans="1:11" ht="25.5">
      <c r="A196" s="246" t="s">
        <v>50</v>
      </c>
      <c r="B196" s="201">
        <v>52</v>
      </c>
      <c r="C196" s="191" t="s">
        <v>33</v>
      </c>
      <c r="D196" s="207">
        <v>3221</v>
      </c>
      <c r="E196" s="213" t="s">
        <v>66</v>
      </c>
      <c r="F196" s="189" t="s">
        <v>704</v>
      </c>
      <c r="G196" s="234"/>
      <c r="H196" s="470"/>
      <c r="I196" s="465"/>
    </row>
    <row r="197" spans="1:11">
      <c r="A197" s="246" t="s">
        <v>50</v>
      </c>
      <c r="B197" s="201">
        <v>52</v>
      </c>
      <c r="C197" s="191" t="s">
        <v>33</v>
      </c>
      <c r="D197" s="207">
        <v>3222</v>
      </c>
      <c r="E197" s="213" t="s">
        <v>77</v>
      </c>
      <c r="F197" s="189" t="s">
        <v>704</v>
      </c>
      <c r="G197" s="234"/>
      <c r="H197" s="470"/>
      <c r="I197" s="465"/>
    </row>
    <row r="198" spans="1:11">
      <c r="A198" s="246" t="s">
        <v>50</v>
      </c>
      <c r="B198" s="201">
        <v>52</v>
      </c>
      <c r="C198" s="191" t="s">
        <v>33</v>
      </c>
      <c r="D198" s="207">
        <v>3223</v>
      </c>
      <c r="E198" s="213" t="s">
        <v>78</v>
      </c>
      <c r="F198" s="189" t="s">
        <v>704</v>
      </c>
      <c r="G198" s="234"/>
      <c r="H198" s="470"/>
      <c r="I198" s="465"/>
    </row>
    <row r="199" spans="1:11">
      <c r="A199" s="246" t="s">
        <v>50</v>
      </c>
      <c r="B199" s="201">
        <v>52</v>
      </c>
      <c r="C199" s="191" t="s">
        <v>33</v>
      </c>
      <c r="D199" s="207">
        <v>3233</v>
      </c>
      <c r="E199" s="213" t="s">
        <v>82</v>
      </c>
      <c r="F199" s="189" t="s">
        <v>704</v>
      </c>
      <c r="G199" s="234"/>
      <c r="H199" s="470"/>
      <c r="I199" s="465"/>
    </row>
    <row r="200" spans="1:11">
      <c r="A200" s="246" t="s">
        <v>50</v>
      </c>
      <c r="B200" s="201">
        <v>52</v>
      </c>
      <c r="C200" s="191" t="s">
        <v>33</v>
      </c>
      <c r="D200" s="207">
        <v>3237</v>
      </c>
      <c r="E200" s="213" t="s">
        <v>63</v>
      </c>
      <c r="F200" s="189" t="s">
        <v>704</v>
      </c>
      <c r="G200" s="234"/>
      <c r="H200" s="470"/>
      <c r="I200" s="465"/>
    </row>
    <row r="201" spans="1:11">
      <c r="A201" s="246" t="s">
        <v>50</v>
      </c>
      <c r="B201" s="201">
        <v>52</v>
      </c>
      <c r="C201" s="191" t="s">
        <v>33</v>
      </c>
      <c r="D201" s="207">
        <v>3238</v>
      </c>
      <c r="E201" s="213" t="s">
        <v>83</v>
      </c>
      <c r="F201" s="189" t="s">
        <v>704</v>
      </c>
      <c r="G201" s="234"/>
      <c r="H201" s="470"/>
      <c r="I201" s="465"/>
    </row>
    <row r="202" spans="1:11">
      <c r="A202" s="246" t="s">
        <v>50</v>
      </c>
      <c r="B202" s="201">
        <v>52</v>
      </c>
      <c r="C202" s="191" t="s">
        <v>33</v>
      </c>
      <c r="D202" s="207">
        <v>3239</v>
      </c>
      <c r="E202" s="213" t="s">
        <v>67</v>
      </c>
      <c r="F202" s="189" t="s">
        <v>704</v>
      </c>
      <c r="G202" s="234"/>
      <c r="H202" s="470"/>
      <c r="I202" s="465"/>
    </row>
    <row r="203" spans="1:11" ht="25.5">
      <c r="A203" s="246" t="s">
        <v>50</v>
      </c>
      <c r="B203" s="201">
        <v>52</v>
      </c>
      <c r="C203" s="191" t="s">
        <v>33</v>
      </c>
      <c r="D203" s="207">
        <v>3241</v>
      </c>
      <c r="E203" s="213" t="s">
        <v>68</v>
      </c>
      <c r="F203" s="189" t="s">
        <v>704</v>
      </c>
      <c r="G203" s="234"/>
      <c r="H203" s="470"/>
      <c r="I203" s="465"/>
    </row>
    <row r="204" spans="1:11">
      <c r="A204" s="246" t="s">
        <v>50</v>
      </c>
      <c r="B204" s="201">
        <v>52</v>
      </c>
      <c r="C204" s="191" t="s">
        <v>33</v>
      </c>
      <c r="D204" s="207">
        <v>3293</v>
      </c>
      <c r="E204" s="213" t="s">
        <v>69</v>
      </c>
      <c r="F204" s="189" t="s">
        <v>704</v>
      </c>
      <c r="G204" s="234"/>
      <c r="H204" s="470"/>
      <c r="I204" s="465"/>
    </row>
    <row r="205" spans="1:11">
      <c r="A205" s="246" t="s">
        <v>50</v>
      </c>
      <c r="B205" s="201">
        <v>52</v>
      </c>
      <c r="C205" s="191" t="s">
        <v>33</v>
      </c>
      <c r="D205" s="207">
        <v>3299</v>
      </c>
      <c r="E205" s="213" t="s">
        <v>58</v>
      </c>
      <c r="F205" s="189" t="s">
        <v>704</v>
      </c>
      <c r="G205" s="234"/>
      <c r="H205" s="470"/>
      <c r="I205" s="465"/>
    </row>
    <row r="206" spans="1:11" ht="25.5">
      <c r="A206" s="246" t="s">
        <v>50</v>
      </c>
      <c r="B206" s="201">
        <v>52</v>
      </c>
      <c r="C206" s="191" t="s">
        <v>33</v>
      </c>
      <c r="D206" s="207">
        <v>3693</v>
      </c>
      <c r="E206" s="213" t="s">
        <v>84</v>
      </c>
      <c r="F206" s="189" t="s">
        <v>704</v>
      </c>
      <c r="G206" s="234"/>
      <c r="H206" s="470"/>
      <c r="I206" s="465"/>
    </row>
    <row r="207" spans="1:11" ht="25.5">
      <c r="A207" s="246" t="s">
        <v>50</v>
      </c>
      <c r="B207" s="201">
        <v>52</v>
      </c>
      <c r="C207" s="191" t="s">
        <v>33</v>
      </c>
      <c r="D207" s="207">
        <v>3723</v>
      </c>
      <c r="E207" s="213" t="s">
        <v>707</v>
      </c>
      <c r="F207" s="189" t="s">
        <v>704</v>
      </c>
      <c r="G207" s="234"/>
      <c r="H207" s="470"/>
      <c r="I207" s="465"/>
    </row>
    <row r="208" spans="1:11">
      <c r="A208" s="246" t="s">
        <v>50</v>
      </c>
      <c r="B208" s="201">
        <v>52</v>
      </c>
      <c r="C208" s="191" t="s">
        <v>33</v>
      </c>
      <c r="D208" s="207">
        <v>4224</v>
      </c>
      <c r="E208" s="213" t="s">
        <v>74</v>
      </c>
      <c r="F208" s="189" t="s">
        <v>704</v>
      </c>
      <c r="G208" s="234"/>
      <c r="H208" s="470"/>
      <c r="I208" s="465"/>
    </row>
    <row r="209" spans="1:11">
      <c r="A209" s="246" t="s">
        <v>50</v>
      </c>
      <c r="B209" s="201">
        <v>52</v>
      </c>
      <c r="C209" s="191" t="s">
        <v>33</v>
      </c>
      <c r="D209" s="207">
        <v>4225</v>
      </c>
      <c r="E209" s="213" t="s">
        <v>86</v>
      </c>
      <c r="F209" s="189" t="s">
        <v>704</v>
      </c>
      <c r="G209" s="234"/>
      <c r="H209" s="470"/>
      <c r="I209" s="465"/>
    </row>
    <row r="210" spans="1:11">
      <c r="A210" s="247" t="s">
        <v>50</v>
      </c>
      <c r="B210" s="202">
        <v>52</v>
      </c>
      <c r="C210" s="193" t="s">
        <v>33</v>
      </c>
      <c r="D210" s="208"/>
      <c r="E210" s="214" t="s">
        <v>171</v>
      </c>
      <c r="F210" s="194" t="s">
        <v>704</v>
      </c>
      <c r="G210" s="235">
        <f>SUM(G192:G209)</f>
        <v>118200</v>
      </c>
      <c r="H210" s="235">
        <f t="shared" ref="H210:I210" si="7">SUM(H192:H209)</f>
        <v>17487.489999999998</v>
      </c>
      <c r="I210" s="442">
        <f t="shared" si="7"/>
        <v>18500</v>
      </c>
    </row>
    <row r="211" spans="1:11">
      <c r="A211" s="246" t="s">
        <v>50</v>
      </c>
      <c r="B211" s="201">
        <v>52</v>
      </c>
      <c r="C211" s="191" t="s">
        <v>33</v>
      </c>
      <c r="D211" s="207">
        <v>3111</v>
      </c>
      <c r="E211" s="213" t="s">
        <v>51</v>
      </c>
      <c r="F211" s="189" t="s">
        <v>703</v>
      </c>
      <c r="G211" s="234"/>
      <c r="H211" s="470"/>
      <c r="I211" s="465"/>
    </row>
    <row r="212" spans="1:11">
      <c r="A212" s="246" t="s">
        <v>50</v>
      </c>
      <c r="B212" s="201">
        <v>52</v>
      </c>
      <c r="C212" s="191" t="s">
        <v>33</v>
      </c>
      <c r="D212" s="207">
        <v>3121</v>
      </c>
      <c r="E212" s="213" t="s">
        <v>52</v>
      </c>
      <c r="F212" s="189" t="s">
        <v>703</v>
      </c>
      <c r="G212" s="234"/>
      <c r="H212" s="470"/>
      <c r="I212" s="465"/>
      <c r="K212" s="148" t="s">
        <v>771</v>
      </c>
    </row>
    <row r="213" spans="1:11" ht="25.5">
      <c r="A213" s="246" t="s">
        <v>50</v>
      </c>
      <c r="B213" s="201">
        <v>52</v>
      </c>
      <c r="C213" s="191" t="s">
        <v>33</v>
      </c>
      <c r="D213" s="207">
        <v>3132</v>
      </c>
      <c r="E213" s="213" t="s">
        <v>53</v>
      </c>
      <c r="F213" s="189" t="s">
        <v>703</v>
      </c>
      <c r="G213" s="234"/>
      <c r="H213" s="470"/>
      <c r="I213" s="465"/>
    </row>
    <row r="214" spans="1:11">
      <c r="A214" s="246" t="s">
        <v>50</v>
      </c>
      <c r="B214" s="201">
        <v>52</v>
      </c>
      <c r="C214" s="191" t="s">
        <v>33</v>
      </c>
      <c r="D214" s="207">
        <v>3211</v>
      </c>
      <c r="E214" s="213" t="s">
        <v>61</v>
      </c>
      <c r="F214" s="189" t="s">
        <v>703</v>
      </c>
      <c r="G214" s="234">
        <v>2000</v>
      </c>
      <c r="H214" s="470">
        <f>2354.3+1935</f>
        <v>4289.3</v>
      </c>
      <c r="I214" s="465">
        <v>5000</v>
      </c>
    </row>
    <row r="215" spans="1:11" ht="25.5">
      <c r="A215" s="246" t="s">
        <v>50</v>
      </c>
      <c r="B215" s="201">
        <v>52</v>
      </c>
      <c r="C215" s="191" t="s">
        <v>33</v>
      </c>
      <c r="D215" s="207">
        <v>3212</v>
      </c>
      <c r="E215" s="213" t="s">
        <v>54</v>
      </c>
      <c r="F215" s="189" t="s">
        <v>703</v>
      </c>
      <c r="G215" s="234"/>
      <c r="H215" s="470"/>
      <c r="I215" s="465"/>
    </row>
    <row r="216" spans="1:11">
      <c r="A216" s="246" t="s">
        <v>50</v>
      </c>
      <c r="B216" s="201">
        <v>52</v>
      </c>
      <c r="C216" s="191" t="s">
        <v>33</v>
      </c>
      <c r="D216" s="207">
        <v>3213</v>
      </c>
      <c r="E216" s="213" t="s">
        <v>65</v>
      </c>
      <c r="F216" s="189" t="s">
        <v>703</v>
      </c>
      <c r="G216" s="234"/>
      <c r="H216" s="470"/>
      <c r="I216" s="465"/>
    </row>
    <row r="217" spans="1:11" ht="25.5">
      <c r="A217" s="246" t="s">
        <v>50</v>
      </c>
      <c r="B217" s="201">
        <v>52</v>
      </c>
      <c r="C217" s="191" t="s">
        <v>33</v>
      </c>
      <c r="D217" s="207">
        <v>3221</v>
      </c>
      <c r="E217" s="213" t="s">
        <v>66</v>
      </c>
      <c r="F217" s="189" t="s">
        <v>703</v>
      </c>
      <c r="G217" s="234"/>
      <c r="H217" s="470"/>
      <c r="I217" s="465">
        <v>1900</v>
      </c>
    </row>
    <row r="218" spans="1:11">
      <c r="A218" s="246" t="s">
        <v>50</v>
      </c>
      <c r="B218" s="201">
        <v>52</v>
      </c>
      <c r="C218" s="191" t="s">
        <v>33</v>
      </c>
      <c r="D218" s="207">
        <v>3223</v>
      </c>
      <c r="E218" s="213" t="s">
        <v>78</v>
      </c>
      <c r="F218" s="189" t="s">
        <v>703</v>
      </c>
      <c r="G218" s="234"/>
      <c r="H218" s="470"/>
      <c r="I218" s="465"/>
    </row>
    <row r="219" spans="1:11" ht="25.5">
      <c r="A219" s="246" t="s">
        <v>50</v>
      </c>
      <c r="B219" s="201">
        <v>52</v>
      </c>
      <c r="C219" s="191" t="s">
        <v>33</v>
      </c>
      <c r="D219" s="207">
        <v>3224</v>
      </c>
      <c r="E219" s="213" t="s">
        <v>62</v>
      </c>
      <c r="F219" s="189" t="s">
        <v>703</v>
      </c>
      <c r="G219" s="234"/>
      <c r="H219" s="470"/>
      <c r="I219" s="465"/>
    </row>
    <row r="220" spans="1:11">
      <c r="A220" s="246" t="s">
        <v>50</v>
      </c>
      <c r="B220" s="201">
        <v>52</v>
      </c>
      <c r="C220" s="191" t="s">
        <v>33</v>
      </c>
      <c r="D220" s="207">
        <v>3231</v>
      </c>
      <c r="E220" s="213" t="s">
        <v>80</v>
      </c>
      <c r="F220" s="189" t="s">
        <v>703</v>
      </c>
      <c r="G220" s="234">
        <v>3000</v>
      </c>
      <c r="H220" s="470">
        <v>2180.6999999999998</v>
      </c>
      <c r="I220" s="465">
        <v>3500</v>
      </c>
    </row>
    <row r="221" spans="1:11" ht="25.5">
      <c r="A221" s="246" t="s">
        <v>50</v>
      </c>
      <c r="B221" s="201">
        <v>52</v>
      </c>
      <c r="C221" s="191" t="s">
        <v>33</v>
      </c>
      <c r="D221" s="207">
        <v>3232</v>
      </c>
      <c r="E221" s="213" t="s">
        <v>81</v>
      </c>
      <c r="F221" s="189" t="s">
        <v>703</v>
      </c>
      <c r="G221" s="234"/>
      <c r="H221" s="470"/>
      <c r="I221" s="465"/>
    </row>
    <row r="222" spans="1:11">
      <c r="A222" s="246" t="s">
        <v>50</v>
      </c>
      <c r="B222" s="201">
        <v>52</v>
      </c>
      <c r="C222" s="191" t="s">
        <v>33</v>
      </c>
      <c r="D222" s="207">
        <v>3233</v>
      </c>
      <c r="E222" s="213" t="s">
        <v>82</v>
      </c>
      <c r="F222" s="189" t="s">
        <v>703</v>
      </c>
      <c r="G222" s="234"/>
      <c r="H222" s="470"/>
      <c r="I222" s="465"/>
    </row>
    <row r="223" spans="1:11">
      <c r="A223" s="246" t="s">
        <v>50</v>
      </c>
      <c r="B223" s="201">
        <v>52</v>
      </c>
      <c r="C223" s="191" t="s">
        <v>33</v>
      </c>
      <c r="D223" s="207">
        <v>3234</v>
      </c>
      <c r="E223" s="213" t="s">
        <v>88</v>
      </c>
      <c r="F223" s="189" t="s">
        <v>703</v>
      </c>
      <c r="G223" s="234">
        <v>500</v>
      </c>
      <c r="H223" s="470">
        <v>98.05</v>
      </c>
      <c r="I223" s="465">
        <v>600</v>
      </c>
    </row>
    <row r="224" spans="1:11">
      <c r="A224" s="246" t="s">
        <v>50</v>
      </c>
      <c r="B224" s="201">
        <v>52</v>
      </c>
      <c r="C224" s="191" t="s">
        <v>33</v>
      </c>
      <c r="D224" s="207">
        <v>3235</v>
      </c>
      <c r="E224" s="213" t="s">
        <v>89</v>
      </c>
      <c r="F224" s="189" t="s">
        <v>703</v>
      </c>
      <c r="G224" s="234">
        <v>5000</v>
      </c>
      <c r="H224" s="470">
        <v>4123.9799999999996</v>
      </c>
      <c r="I224" s="465">
        <v>5000</v>
      </c>
    </row>
    <row r="225" spans="1:10">
      <c r="A225" s="246" t="s">
        <v>50</v>
      </c>
      <c r="B225" s="201">
        <v>52</v>
      </c>
      <c r="C225" s="191" t="s">
        <v>33</v>
      </c>
      <c r="D225" s="207">
        <v>3237</v>
      </c>
      <c r="E225" s="213" t="s">
        <v>63</v>
      </c>
      <c r="F225" s="189" t="s">
        <v>703</v>
      </c>
      <c r="G225" s="234">
        <v>29500</v>
      </c>
      <c r="H225" s="470"/>
      <c r="I225" s="465">
        <v>34000</v>
      </c>
    </row>
    <row r="226" spans="1:10">
      <c r="A226" s="246" t="s">
        <v>50</v>
      </c>
      <c r="B226" s="201">
        <v>52</v>
      </c>
      <c r="C226" s="191" t="s">
        <v>33</v>
      </c>
      <c r="D226" s="207">
        <v>3238</v>
      </c>
      <c r="E226" s="213" t="s">
        <v>83</v>
      </c>
      <c r="F226" s="189" t="s">
        <v>703</v>
      </c>
      <c r="G226" s="234"/>
      <c r="H226" s="470"/>
      <c r="I226" s="465"/>
    </row>
    <row r="227" spans="1:10">
      <c r="A227" s="246" t="s">
        <v>50</v>
      </c>
      <c r="B227" s="201">
        <v>52</v>
      </c>
      <c r="C227" s="191" t="s">
        <v>33</v>
      </c>
      <c r="D227" s="207">
        <v>3239</v>
      </c>
      <c r="E227" s="213" t="s">
        <v>67</v>
      </c>
      <c r="F227" s="189" t="s">
        <v>703</v>
      </c>
      <c r="G227" s="234">
        <v>4000</v>
      </c>
      <c r="H227" s="470"/>
      <c r="I227" s="465">
        <v>4500</v>
      </c>
    </row>
    <row r="228" spans="1:10" ht="25.5">
      <c r="A228" s="246" t="s">
        <v>50</v>
      </c>
      <c r="B228" s="201">
        <v>52</v>
      </c>
      <c r="C228" s="191" t="s">
        <v>33</v>
      </c>
      <c r="D228" s="207">
        <v>3241</v>
      </c>
      <c r="E228" s="213" t="s">
        <v>68</v>
      </c>
      <c r="F228" s="189" t="s">
        <v>703</v>
      </c>
      <c r="G228" s="234">
        <v>2000</v>
      </c>
      <c r="H228" s="470"/>
      <c r="I228" s="465">
        <v>5000</v>
      </c>
    </row>
    <row r="229" spans="1:10">
      <c r="A229" s="246" t="s">
        <v>50</v>
      </c>
      <c r="B229" s="201">
        <v>52</v>
      </c>
      <c r="C229" s="191" t="s">
        <v>33</v>
      </c>
      <c r="D229" s="207">
        <v>3292</v>
      </c>
      <c r="E229" s="213" t="s">
        <v>60</v>
      </c>
      <c r="F229" s="189" t="s">
        <v>703</v>
      </c>
      <c r="G229" s="234"/>
      <c r="H229" s="470"/>
      <c r="I229" s="465"/>
    </row>
    <row r="230" spans="1:10">
      <c r="A230" s="246" t="s">
        <v>50</v>
      </c>
      <c r="B230" s="201">
        <v>52</v>
      </c>
      <c r="C230" s="191" t="s">
        <v>33</v>
      </c>
      <c r="D230" s="207">
        <v>3293</v>
      </c>
      <c r="E230" s="213" t="s">
        <v>69</v>
      </c>
      <c r="F230" s="189" t="s">
        <v>703</v>
      </c>
      <c r="G230" s="234">
        <v>3000</v>
      </c>
      <c r="H230" s="470"/>
      <c r="I230" s="465"/>
    </row>
    <row r="231" spans="1:10">
      <c r="A231" s="246" t="s">
        <v>50</v>
      </c>
      <c r="B231" s="201">
        <v>52</v>
      </c>
      <c r="C231" s="191" t="s">
        <v>33</v>
      </c>
      <c r="D231" s="207">
        <v>3295</v>
      </c>
      <c r="E231" s="213" t="s">
        <v>56</v>
      </c>
      <c r="F231" s="189" t="s">
        <v>703</v>
      </c>
      <c r="G231" s="234"/>
      <c r="H231" s="470"/>
      <c r="I231" s="465"/>
    </row>
    <row r="232" spans="1:10">
      <c r="A232" s="246" t="s">
        <v>50</v>
      </c>
      <c r="B232" s="201">
        <v>52</v>
      </c>
      <c r="C232" s="191" t="s">
        <v>33</v>
      </c>
      <c r="D232" s="207">
        <v>3299</v>
      </c>
      <c r="E232" s="213" t="s">
        <v>58</v>
      </c>
      <c r="F232" s="189" t="s">
        <v>703</v>
      </c>
      <c r="G232" s="234">
        <v>1000</v>
      </c>
      <c r="H232" s="470"/>
      <c r="I232" s="465">
        <v>8500</v>
      </c>
      <c r="J232" s="148" t="s">
        <v>779</v>
      </c>
    </row>
    <row r="233" spans="1:10" ht="25.5">
      <c r="A233" s="246" t="s">
        <v>50</v>
      </c>
      <c r="B233" s="201">
        <v>52</v>
      </c>
      <c r="C233" s="191" t="s">
        <v>33</v>
      </c>
      <c r="D233" s="207">
        <v>3691</v>
      </c>
      <c r="E233" s="213" t="s">
        <v>84</v>
      </c>
      <c r="F233" s="189" t="s">
        <v>703</v>
      </c>
      <c r="G233" s="234"/>
      <c r="H233" s="470"/>
      <c r="I233" s="465"/>
    </row>
    <row r="234" spans="1:10" ht="25.5">
      <c r="A234" s="246" t="s">
        <v>50</v>
      </c>
      <c r="B234" s="201">
        <v>52</v>
      </c>
      <c r="C234" s="191" t="s">
        <v>33</v>
      </c>
      <c r="D234" s="207">
        <v>3721</v>
      </c>
      <c r="E234" s="213" t="s">
        <v>85</v>
      </c>
      <c r="F234" s="189" t="s">
        <v>703</v>
      </c>
      <c r="G234" s="234"/>
      <c r="H234" s="470"/>
      <c r="I234" s="465"/>
    </row>
    <row r="235" spans="1:10" ht="25.5">
      <c r="A235" s="246" t="s">
        <v>50</v>
      </c>
      <c r="B235" s="201">
        <v>52</v>
      </c>
      <c r="C235" s="191" t="s">
        <v>33</v>
      </c>
      <c r="D235" s="207">
        <v>3722</v>
      </c>
      <c r="E235" s="213" t="s">
        <v>708</v>
      </c>
      <c r="F235" s="189" t="s">
        <v>703</v>
      </c>
      <c r="G235" s="234"/>
      <c r="H235" s="470"/>
      <c r="I235" s="465"/>
    </row>
    <row r="236" spans="1:10">
      <c r="A236" s="246" t="s">
        <v>50</v>
      </c>
      <c r="B236" s="201">
        <v>52</v>
      </c>
      <c r="C236" s="191" t="s">
        <v>33</v>
      </c>
      <c r="D236" s="207">
        <v>4221</v>
      </c>
      <c r="E236" s="213" t="s">
        <v>64</v>
      </c>
      <c r="F236" s="189" t="s">
        <v>703</v>
      </c>
      <c r="G236" s="234"/>
      <c r="H236" s="470"/>
      <c r="I236" s="465">
        <v>3000</v>
      </c>
    </row>
    <row r="237" spans="1:10">
      <c r="A237" s="246" t="s">
        <v>50</v>
      </c>
      <c r="B237" s="201">
        <v>52</v>
      </c>
      <c r="C237" s="191" t="s">
        <v>33</v>
      </c>
      <c r="D237" s="207">
        <v>4224</v>
      </c>
      <c r="E237" s="213" t="s">
        <v>74</v>
      </c>
      <c r="F237" s="189" t="s">
        <v>703</v>
      </c>
      <c r="G237" s="234"/>
      <c r="H237" s="470"/>
      <c r="I237" s="465"/>
    </row>
    <row r="238" spans="1:10">
      <c r="A238" s="246" t="s">
        <v>50</v>
      </c>
      <c r="B238" s="201">
        <v>52</v>
      </c>
      <c r="C238" s="191" t="s">
        <v>33</v>
      </c>
      <c r="D238" s="207">
        <v>4241</v>
      </c>
      <c r="E238" s="213" t="s">
        <v>75</v>
      </c>
      <c r="F238" s="189" t="s">
        <v>703</v>
      </c>
      <c r="G238" s="234"/>
      <c r="H238" s="470"/>
      <c r="I238" s="465"/>
    </row>
    <row r="239" spans="1:10">
      <c r="A239" s="246" t="s">
        <v>50</v>
      </c>
      <c r="B239" s="201">
        <v>52</v>
      </c>
      <c r="C239" s="191" t="s">
        <v>33</v>
      </c>
      <c r="D239" s="207">
        <v>4262</v>
      </c>
      <c r="E239" s="213" t="s">
        <v>87</v>
      </c>
      <c r="F239" s="189" t="s">
        <v>703</v>
      </c>
      <c r="G239" s="234"/>
      <c r="H239" s="470"/>
      <c r="I239" s="465"/>
    </row>
    <row r="240" spans="1:10" ht="25.5">
      <c r="A240" s="246" t="s">
        <v>50</v>
      </c>
      <c r="B240" s="201">
        <v>52</v>
      </c>
      <c r="C240" s="191" t="s">
        <v>33</v>
      </c>
      <c r="D240" s="207">
        <v>4511</v>
      </c>
      <c r="E240" s="213" t="s">
        <v>92</v>
      </c>
      <c r="F240" s="189" t="s">
        <v>703</v>
      </c>
      <c r="G240" s="234"/>
      <c r="H240" s="470"/>
      <c r="I240" s="465"/>
    </row>
    <row r="241" spans="1:11">
      <c r="A241" s="247" t="s">
        <v>50</v>
      </c>
      <c r="B241" s="202">
        <v>52</v>
      </c>
      <c r="C241" s="193" t="s">
        <v>33</v>
      </c>
      <c r="D241" s="208"/>
      <c r="E241" s="214" t="s">
        <v>171</v>
      </c>
      <c r="F241" s="194" t="s">
        <v>703</v>
      </c>
      <c r="G241" s="235">
        <f>SUM(G211:G240)</f>
        <v>50000</v>
      </c>
      <c r="H241" s="235">
        <f t="shared" ref="H241:I241" si="8">SUM(H211:H240)</f>
        <v>10692.029999999999</v>
      </c>
      <c r="I241" s="248">
        <f t="shared" si="8"/>
        <v>71000</v>
      </c>
    </row>
    <row r="242" spans="1:11">
      <c r="A242" s="249" t="s">
        <v>50</v>
      </c>
      <c r="B242" s="204">
        <v>52</v>
      </c>
      <c r="C242" s="195" t="s">
        <v>33</v>
      </c>
      <c r="D242" s="211"/>
      <c r="E242" s="216" t="s">
        <v>709</v>
      </c>
      <c r="F242" s="196"/>
      <c r="G242" s="237">
        <f>G210+G241</f>
        <v>168200</v>
      </c>
      <c r="H242" s="237">
        <f t="shared" ref="H242:I242" si="9">H210+H241</f>
        <v>28179.519999999997</v>
      </c>
      <c r="I242" s="250">
        <f t="shared" si="9"/>
        <v>89500</v>
      </c>
    </row>
    <row r="243" spans="1:11">
      <c r="A243" s="246" t="s">
        <v>50</v>
      </c>
      <c r="B243" s="201">
        <v>61</v>
      </c>
      <c r="C243" s="191" t="s">
        <v>41</v>
      </c>
      <c r="D243" s="207">
        <v>3111</v>
      </c>
      <c r="E243" s="213" t="s">
        <v>51</v>
      </c>
      <c r="F243" s="189" t="s">
        <v>704</v>
      </c>
      <c r="G243" s="234">
        <v>108700</v>
      </c>
      <c r="H243" s="470"/>
      <c r="I243" s="465"/>
    </row>
    <row r="244" spans="1:11" ht="25.5">
      <c r="A244" s="246" t="s">
        <v>50</v>
      </c>
      <c r="B244" s="201">
        <v>61</v>
      </c>
      <c r="C244" s="191" t="s">
        <v>41</v>
      </c>
      <c r="D244" s="207">
        <v>3132</v>
      </c>
      <c r="E244" s="213" t="s">
        <v>53</v>
      </c>
      <c r="F244" s="189" t="s">
        <v>704</v>
      </c>
      <c r="G244" s="234">
        <v>18700</v>
      </c>
      <c r="H244" s="470"/>
      <c r="I244" s="465"/>
      <c r="K244" s="446"/>
    </row>
    <row r="245" spans="1:11">
      <c r="A245" s="247" t="s">
        <v>50</v>
      </c>
      <c r="B245" s="202">
        <v>61</v>
      </c>
      <c r="C245" s="193" t="s">
        <v>41</v>
      </c>
      <c r="D245" s="208"/>
      <c r="E245" s="214" t="s">
        <v>171</v>
      </c>
      <c r="F245" s="194" t="s">
        <v>704</v>
      </c>
      <c r="G245" s="235">
        <f>SUM(G243:G244)</f>
        <v>127400</v>
      </c>
      <c r="H245" s="235">
        <f t="shared" ref="H245:I245" si="10">SUM(H243:H244)</f>
        <v>0</v>
      </c>
      <c r="I245" s="248">
        <f t="shared" si="10"/>
        <v>0</v>
      </c>
    </row>
    <row r="246" spans="1:11">
      <c r="A246" s="246" t="s">
        <v>50</v>
      </c>
      <c r="B246" s="201">
        <v>61</v>
      </c>
      <c r="C246" s="191" t="s">
        <v>41</v>
      </c>
      <c r="D246" s="207">
        <v>3111</v>
      </c>
      <c r="E246" s="213" t="s">
        <v>51</v>
      </c>
      <c r="F246" s="189" t="s">
        <v>703</v>
      </c>
      <c r="G246" s="234"/>
      <c r="H246" s="470">
        <v>8066.09</v>
      </c>
      <c r="I246" s="465">
        <v>8100</v>
      </c>
    </row>
    <row r="247" spans="1:11">
      <c r="A247" s="246" t="s">
        <v>50</v>
      </c>
      <c r="B247" s="201">
        <v>61</v>
      </c>
      <c r="C247" s="191" t="s">
        <v>41</v>
      </c>
      <c r="D247" s="207">
        <v>3121</v>
      </c>
      <c r="E247" s="213" t="s">
        <v>52</v>
      </c>
      <c r="F247" s="189" t="s">
        <v>703</v>
      </c>
      <c r="G247" s="234"/>
      <c r="H247" s="470"/>
      <c r="I247" s="465"/>
    </row>
    <row r="248" spans="1:11" ht="25.5">
      <c r="A248" s="246" t="s">
        <v>50</v>
      </c>
      <c r="B248" s="201">
        <v>61</v>
      </c>
      <c r="C248" s="191" t="s">
        <v>41</v>
      </c>
      <c r="D248" s="207">
        <v>3132</v>
      </c>
      <c r="E248" s="213" t="s">
        <v>53</v>
      </c>
      <c r="F248" s="189" t="s">
        <v>703</v>
      </c>
      <c r="G248" s="234"/>
      <c r="H248" s="470">
        <v>1330.91</v>
      </c>
      <c r="I248" s="465">
        <v>1500</v>
      </c>
    </row>
    <row r="249" spans="1:11">
      <c r="A249" s="246" t="s">
        <v>50</v>
      </c>
      <c r="B249" s="201">
        <v>61</v>
      </c>
      <c r="C249" s="191" t="s">
        <v>41</v>
      </c>
      <c r="D249" s="207">
        <v>3211</v>
      </c>
      <c r="E249" s="213" t="s">
        <v>61</v>
      </c>
      <c r="F249" s="189" t="s">
        <v>703</v>
      </c>
      <c r="G249" s="234">
        <v>5000</v>
      </c>
      <c r="H249" s="470"/>
      <c r="I249" s="465"/>
    </row>
    <row r="250" spans="1:11" ht="25.5">
      <c r="A250" s="246" t="s">
        <v>50</v>
      </c>
      <c r="B250" s="201">
        <v>61</v>
      </c>
      <c r="C250" s="191" t="s">
        <v>41</v>
      </c>
      <c r="D250" s="207">
        <v>3212</v>
      </c>
      <c r="E250" s="213" t="s">
        <v>54</v>
      </c>
      <c r="F250" s="189" t="s">
        <v>703</v>
      </c>
      <c r="G250" s="234"/>
      <c r="H250" s="470"/>
      <c r="I250" s="465"/>
    </row>
    <row r="251" spans="1:11">
      <c r="A251" s="246" t="s">
        <v>50</v>
      </c>
      <c r="B251" s="201">
        <v>61</v>
      </c>
      <c r="C251" s="191" t="s">
        <v>41</v>
      </c>
      <c r="D251" s="207">
        <v>3213</v>
      </c>
      <c r="E251" s="213" t="s">
        <v>65</v>
      </c>
      <c r="F251" s="189" t="s">
        <v>703</v>
      </c>
      <c r="G251" s="234"/>
      <c r="H251" s="470"/>
      <c r="I251" s="465"/>
    </row>
    <row r="252" spans="1:11" ht="25.5">
      <c r="A252" s="246" t="s">
        <v>50</v>
      </c>
      <c r="B252" s="201">
        <v>61</v>
      </c>
      <c r="C252" s="191" t="s">
        <v>41</v>
      </c>
      <c r="D252" s="207">
        <v>3221</v>
      </c>
      <c r="E252" s="213" t="s">
        <v>66</v>
      </c>
      <c r="F252" s="189" t="s">
        <v>703</v>
      </c>
      <c r="G252" s="234"/>
      <c r="H252" s="470"/>
      <c r="I252" s="465"/>
    </row>
    <row r="253" spans="1:11">
      <c r="A253" s="246" t="s">
        <v>50</v>
      </c>
      <c r="B253" s="201">
        <v>61</v>
      </c>
      <c r="C253" s="191" t="s">
        <v>41</v>
      </c>
      <c r="D253" s="207">
        <v>3222</v>
      </c>
      <c r="E253" s="213" t="s">
        <v>77</v>
      </c>
      <c r="F253" s="189" t="s">
        <v>703</v>
      </c>
      <c r="G253" s="234"/>
      <c r="H253" s="470"/>
      <c r="I253" s="465"/>
    </row>
    <row r="254" spans="1:11">
      <c r="A254" s="246" t="s">
        <v>50</v>
      </c>
      <c r="B254" s="201">
        <v>61</v>
      </c>
      <c r="C254" s="191" t="s">
        <v>41</v>
      </c>
      <c r="D254" s="207">
        <v>3225</v>
      </c>
      <c r="E254" s="213" t="s">
        <v>79</v>
      </c>
      <c r="F254" s="189" t="s">
        <v>703</v>
      </c>
      <c r="G254" s="234"/>
      <c r="H254" s="470"/>
      <c r="I254" s="465"/>
    </row>
    <row r="255" spans="1:11">
      <c r="A255" s="246" t="s">
        <v>50</v>
      </c>
      <c r="B255" s="201">
        <v>61</v>
      </c>
      <c r="C255" s="191" t="s">
        <v>41</v>
      </c>
      <c r="D255" s="207">
        <v>3231</v>
      </c>
      <c r="E255" s="213" t="s">
        <v>80</v>
      </c>
      <c r="F255" s="189" t="s">
        <v>703</v>
      </c>
      <c r="G255" s="234"/>
      <c r="H255" s="470"/>
      <c r="I255" s="465"/>
    </row>
    <row r="256" spans="1:11" ht="25.5">
      <c r="A256" s="246" t="s">
        <v>50</v>
      </c>
      <c r="B256" s="201">
        <v>61</v>
      </c>
      <c r="C256" s="191" t="s">
        <v>41</v>
      </c>
      <c r="D256" s="207">
        <v>3232</v>
      </c>
      <c r="E256" s="213" t="s">
        <v>81</v>
      </c>
      <c r="F256" s="189" t="s">
        <v>703</v>
      </c>
      <c r="G256" s="234"/>
      <c r="H256" s="470"/>
      <c r="I256" s="465"/>
    </row>
    <row r="257" spans="1:9">
      <c r="A257" s="246" t="s">
        <v>50</v>
      </c>
      <c r="B257" s="201">
        <v>61</v>
      </c>
      <c r="C257" s="191" t="s">
        <v>41</v>
      </c>
      <c r="D257" s="207">
        <v>3233</v>
      </c>
      <c r="E257" s="213" t="s">
        <v>82</v>
      </c>
      <c r="F257" s="189" t="s">
        <v>703</v>
      </c>
      <c r="G257" s="234"/>
      <c r="H257" s="470"/>
      <c r="I257" s="465"/>
    </row>
    <row r="258" spans="1:9">
      <c r="A258" s="246" t="s">
        <v>50</v>
      </c>
      <c r="B258" s="201">
        <v>61</v>
      </c>
      <c r="C258" s="191" t="s">
        <v>41</v>
      </c>
      <c r="D258" s="207">
        <v>3237</v>
      </c>
      <c r="E258" s="213" t="s">
        <v>63</v>
      </c>
      <c r="F258" s="189" t="s">
        <v>703</v>
      </c>
      <c r="G258" s="234">
        <f>22000+14000</f>
        <v>36000</v>
      </c>
      <c r="H258" s="470">
        <f>11057.53+580.53</f>
        <v>11638.060000000001</v>
      </c>
      <c r="I258" s="465">
        <v>12000</v>
      </c>
    </row>
    <row r="259" spans="1:9">
      <c r="A259" s="246" t="s">
        <v>50</v>
      </c>
      <c r="B259" s="201">
        <v>61</v>
      </c>
      <c r="C259" s="191" t="s">
        <v>41</v>
      </c>
      <c r="D259" s="207">
        <v>3238</v>
      </c>
      <c r="E259" s="213" t="s">
        <v>83</v>
      </c>
      <c r="F259" s="189" t="s">
        <v>703</v>
      </c>
      <c r="G259" s="234"/>
      <c r="H259" s="470"/>
      <c r="I259" s="465"/>
    </row>
    <row r="260" spans="1:9">
      <c r="A260" s="246" t="s">
        <v>50</v>
      </c>
      <c r="B260" s="201">
        <v>61</v>
      </c>
      <c r="C260" s="191" t="s">
        <v>41</v>
      </c>
      <c r="D260" s="207">
        <v>3239</v>
      </c>
      <c r="E260" s="213" t="s">
        <v>67</v>
      </c>
      <c r="F260" s="189" t="s">
        <v>703</v>
      </c>
      <c r="G260" s="234"/>
      <c r="H260" s="470">
        <v>5268.01</v>
      </c>
      <c r="I260" s="465">
        <v>5500</v>
      </c>
    </row>
    <row r="261" spans="1:9" ht="25.5">
      <c r="A261" s="246" t="s">
        <v>50</v>
      </c>
      <c r="B261" s="201">
        <v>61</v>
      </c>
      <c r="C261" s="191" t="s">
        <v>41</v>
      </c>
      <c r="D261" s="207">
        <v>3241</v>
      </c>
      <c r="E261" s="213" t="s">
        <v>68</v>
      </c>
      <c r="F261" s="189" t="s">
        <v>703</v>
      </c>
      <c r="G261" s="234"/>
      <c r="H261" s="470"/>
      <c r="I261" s="465"/>
    </row>
    <row r="262" spans="1:9">
      <c r="A262" s="246" t="s">
        <v>50</v>
      </c>
      <c r="B262" s="201">
        <v>61</v>
      </c>
      <c r="C262" s="191" t="s">
        <v>41</v>
      </c>
      <c r="D262" s="207">
        <v>3293</v>
      </c>
      <c r="E262" s="213" t="s">
        <v>69</v>
      </c>
      <c r="F262" s="189" t="s">
        <v>703</v>
      </c>
      <c r="G262" s="234">
        <v>9000</v>
      </c>
      <c r="H262" s="470"/>
      <c r="I262" s="465"/>
    </row>
    <row r="263" spans="1:9">
      <c r="A263" s="246" t="s">
        <v>50</v>
      </c>
      <c r="B263" s="201">
        <v>61</v>
      </c>
      <c r="C263" s="191" t="s">
        <v>41</v>
      </c>
      <c r="D263" s="207">
        <v>3299</v>
      </c>
      <c r="E263" s="213" t="s">
        <v>58</v>
      </c>
      <c r="F263" s="189" t="s">
        <v>703</v>
      </c>
      <c r="G263" s="234"/>
      <c r="H263" s="470"/>
      <c r="I263" s="465"/>
    </row>
    <row r="264" spans="1:9" ht="25.5">
      <c r="A264" s="246" t="s">
        <v>50</v>
      </c>
      <c r="B264" s="201">
        <v>61</v>
      </c>
      <c r="C264" s="191" t="s">
        <v>41</v>
      </c>
      <c r="D264" s="207">
        <v>3431</v>
      </c>
      <c r="E264" s="213" t="s">
        <v>71</v>
      </c>
      <c r="F264" s="189" t="s">
        <v>703</v>
      </c>
      <c r="G264" s="234"/>
      <c r="H264" s="470">
        <v>649.29999999999995</v>
      </c>
      <c r="I264" s="465">
        <v>1000</v>
      </c>
    </row>
    <row r="265" spans="1:9" ht="25.5">
      <c r="A265" s="246" t="s">
        <v>50</v>
      </c>
      <c r="B265" s="201">
        <v>61</v>
      </c>
      <c r="C265" s="191" t="s">
        <v>41</v>
      </c>
      <c r="D265" s="207">
        <v>3432</v>
      </c>
      <c r="E265" s="213" t="s">
        <v>72</v>
      </c>
      <c r="F265" s="189" t="s">
        <v>703</v>
      </c>
      <c r="G265" s="234"/>
      <c r="H265" s="470"/>
      <c r="I265" s="465"/>
    </row>
    <row r="266" spans="1:9" ht="25.5">
      <c r="A266" s="246" t="s">
        <v>50</v>
      </c>
      <c r="B266" s="201">
        <v>61</v>
      </c>
      <c r="C266" s="191" t="s">
        <v>41</v>
      </c>
      <c r="D266" s="207">
        <v>3721</v>
      </c>
      <c r="E266" s="213" t="s">
        <v>85</v>
      </c>
      <c r="F266" s="189" t="s">
        <v>703</v>
      </c>
      <c r="G266" s="234"/>
      <c r="H266" s="470"/>
      <c r="I266" s="465"/>
    </row>
    <row r="267" spans="1:9">
      <c r="A267" s="246" t="s">
        <v>50</v>
      </c>
      <c r="B267" s="201">
        <v>61</v>
      </c>
      <c r="C267" s="191" t="s">
        <v>41</v>
      </c>
      <c r="D267" s="207">
        <v>4221</v>
      </c>
      <c r="E267" s="213" t="s">
        <v>64</v>
      </c>
      <c r="F267" s="189" t="s">
        <v>703</v>
      </c>
      <c r="G267" s="234"/>
      <c r="H267" s="470"/>
      <c r="I267" s="465"/>
    </row>
    <row r="268" spans="1:9">
      <c r="A268" s="246" t="s">
        <v>50</v>
      </c>
      <c r="B268" s="201">
        <v>61</v>
      </c>
      <c r="C268" s="191" t="s">
        <v>41</v>
      </c>
      <c r="D268" s="207">
        <v>4224</v>
      </c>
      <c r="E268" s="213" t="s">
        <v>74</v>
      </c>
      <c r="F268" s="189" t="s">
        <v>703</v>
      </c>
      <c r="G268" s="234"/>
      <c r="H268" s="470"/>
      <c r="I268" s="465"/>
    </row>
    <row r="269" spans="1:9">
      <c r="A269" s="246" t="s">
        <v>50</v>
      </c>
      <c r="B269" s="201">
        <v>61</v>
      </c>
      <c r="C269" s="191" t="s">
        <v>41</v>
      </c>
      <c r="D269" s="207">
        <v>4225</v>
      </c>
      <c r="E269" s="213" t="s">
        <v>86</v>
      </c>
      <c r="F269" s="189" t="s">
        <v>703</v>
      </c>
      <c r="G269" s="234"/>
      <c r="H269" s="470"/>
      <c r="I269" s="465"/>
    </row>
    <row r="270" spans="1:9">
      <c r="A270" s="246" t="s">
        <v>50</v>
      </c>
      <c r="B270" s="201">
        <v>61</v>
      </c>
      <c r="C270" s="191" t="s">
        <v>41</v>
      </c>
      <c r="D270" s="207">
        <v>4241</v>
      </c>
      <c r="E270" s="213" t="s">
        <v>75</v>
      </c>
      <c r="F270" s="189" t="s">
        <v>703</v>
      </c>
      <c r="G270" s="234">
        <v>4000</v>
      </c>
      <c r="H270" s="470"/>
      <c r="I270" s="465"/>
    </row>
    <row r="271" spans="1:9">
      <c r="A271" s="246" t="s">
        <v>50</v>
      </c>
      <c r="B271" s="201">
        <v>61</v>
      </c>
      <c r="C271" s="191" t="s">
        <v>41</v>
      </c>
      <c r="D271" s="207">
        <v>4262</v>
      </c>
      <c r="E271" s="213" t="s">
        <v>87</v>
      </c>
      <c r="F271" s="189" t="s">
        <v>703</v>
      </c>
      <c r="G271" s="234"/>
      <c r="H271" s="470"/>
      <c r="I271" s="465"/>
    </row>
    <row r="272" spans="1:9">
      <c r="A272" s="251" t="s">
        <v>50</v>
      </c>
      <c r="B272" s="203">
        <v>61</v>
      </c>
      <c r="C272" s="197" t="s">
        <v>41</v>
      </c>
      <c r="D272" s="210"/>
      <c r="E272" s="215" t="s">
        <v>171</v>
      </c>
      <c r="F272" s="198" t="s">
        <v>703</v>
      </c>
      <c r="G272" s="236">
        <f>SUM(G246:G271)</f>
        <v>54000</v>
      </c>
      <c r="H272" s="236">
        <f t="shared" ref="H272:I272" si="11">SUM(H246:H271)</f>
        <v>26952.37</v>
      </c>
      <c r="I272" s="444">
        <f t="shared" si="11"/>
        <v>28100</v>
      </c>
    </row>
    <row r="273" spans="1:9">
      <c r="A273" s="252" t="s">
        <v>50</v>
      </c>
      <c r="B273" s="240">
        <v>61</v>
      </c>
      <c r="C273" s="199" t="s">
        <v>41</v>
      </c>
      <c r="D273" s="241"/>
      <c r="E273" s="242" t="s">
        <v>710</v>
      </c>
      <c r="F273" s="200"/>
      <c r="G273" s="243">
        <f>G245+G272</f>
        <v>181400</v>
      </c>
      <c r="H273" s="243">
        <f t="shared" ref="H273:I273" si="12">H245+H272</f>
        <v>26952.37</v>
      </c>
      <c r="I273" s="445">
        <f t="shared" si="12"/>
        <v>28100</v>
      </c>
    </row>
    <row r="274" spans="1:9" ht="38.25">
      <c r="A274" s="246" t="s">
        <v>50</v>
      </c>
      <c r="B274" s="201">
        <v>71</v>
      </c>
      <c r="C274" s="191" t="s">
        <v>48</v>
      </c>
      <c r="D274" s="207">
        <v>3223</v>
      </c>
      <c r="E274" s="213" t="s">
        <v>78</v>
      </c>
      <c r="F274" s="189" t="s">
        <v>703</v>
      </c>
      <c r="G274" s="234"/>
      <c r="H274" s="470"/>
      <c r="I274" s="465"/>
    </row>
    <row r="275" spans="1:9" ht="38.25">
      <c r="A275" s="246" t="s">
        <v>50</v>
      </c>
      <c r="B275" s="201">
        <v>71</v>
      </c>
      <c r="C275" s="191" t="s">
        <v>48</v>
      </c>
      <c r="D275" s="207">
        <v>4221</v>
      </c>
      <c r="E275" s="213" t="s">
        <v>64</v>
      </c>
      <c r="F275" s="189" t="s">
        <v>703</v>
      </c>
      <c r="G275" s="234"/>
      <c r="H275" s="470"/>
      <c r="I275" s="465"/>
    </row>
    <row r="276" spans="1:9" ht="38.25">
      <c r="A276" s="246" t="s">
        <v>50</v>
      </c>
      <c r="B276" s="201">
        <v>71</v>
      </c>
      <c r="C276" s="191" t="s">
        <v>48</v>
      </c>
      <c r="D276" s="207">
        <v>4241</v>
      </c>
      <c r="E276" s="213" t="s">
        <v>75</v>
      </c>
      <c r="F276" s="189" t="s">
        <v>703</v>
      </c>
      <c r="G276" s="234"/>
      <c r="H276" s="470"/>
      <c r="I276" s="465"/>
    </row>
    <row r="277" spans="1:9" ht="38.25">
      <c r="A277" s="246" t="s">
        <v>50</v>
      </c>
      <c r="B277" s="201">
        <v>71</v>
      </c>
      <c r="C277" s="191" t="s">
        <v>48</v>
      </c>
      <c r="D277" s="207">
        <v>4511</v>
      </c>
      <c r="E277" s="213" t="s">
        <v>92</v>
      </c>
      <c r="F277" s="189" t="s">
        <v>703</v>
      </c>
      <c r="G277" s="234"/>
      <c r="H277" s="470"/>
      <c r="I277" s="465"/>
    </row>
    <row r="278" spans="1:9" ht="38.25">
      <c r="A278" s="249" t="s">
        <v>50</v>
      </c>
      <c r="B278" s="204">
        <v>71</v>
      </c>
      <c r="C278" s="195" t="s">
        <v>48</v>
      </c>
      <c r="D278" s="211"/>
      <c r="E278" s="216" t="s">
        <v>171</v>
      </c>
      <c r="F278" s="196" t="s">
        <v>703</v>
      </c>
      <c r="G278" s="237">
        <f>SUM(G274:G277)</f>
        <v>0</v>
      </c>
      <c r="H278" s="237">
        <f t="shared" ref="H278:I278" si="13">SUM(H274:H277)</f>
        <v>0</v>
      </c>
      <c r="I278" s="250">
        <f t="shared" si="13"/>
        <v>0</v>
      </c>
    </row>
    <row r="279" spans="1:9">
      <c r="A279" s="246" t="s">
        <v>50</v>
      </c>
      <c r="B279" s="201">
        <v>12</v>
      </c>
      <c r="C279" s="191" t="s">
        <v>22</v>
      </c>
      <c r="D279" s="207">
        <v>3111</v>
      </c>
      <c r="E279" s="213" t="s">
        <v>51</v>
      </c>
      <c r="F279" s="189" t="s">
        <v>712</v>
      </c>
      <c r="G279" s="234"/>
      <c r="H279" s="470"/>
      <c r="I279" s="465"/>
    </row>
    <row r="280" spans="1:9">
      <c r="A280" s="246" t="s">
        <v>50</v>
      </c>
      <c r="B280" s="201">
        <v>12</v>
      </c>
      <c r="C280" s="191" t="s">
        <v>22</v>
      </c>
      <c r="D280" s="207">
        <v>3211</v>
      </c>
      <c r="E280" s="213" t="s">
        <v>61</v>
      </c>
      <c r="F280" s="189" t="s">
        <v>712</v>
      </c>
      <c r="G280" s="234"/>
      <c r="H280" s="470"/>
      <c r="I280" s="465"/>
    </row>
    <row r="281" spans="1:9" ht="25.5">
      <c r="A281" s="246" t="s">
        <v>50</v>
      </c>
      <c r="B281" s="201">
        <v>12</v>
      </c>
      <c r="C281" s="191" t="s">
        <v>22</v>
      </c>
      <c r="D281" s="207">
        <v>3132</v>
      </c>
      <c r="E281" s="213" t="s">
        <v>53</v>
      </c>
      <c r="F281" s="189" t="s">
        <v>712</v>
      </c>
      <c r="G281" s="234"/>
      <c r="H281" s="470"/>
      <c r="I281" s="465"/>
    </row>
    <row r="282" spans="1:9">
      <c r="A282" s="246" t="s">
        <v>50</v>
      </c>
      <c r="B282" s="201">
        <v>12</v>
      </c>
      <c r="C282" s="191" t="s">
        <v>22</v>
      </c>
      <c r="D282" s="207">
        <v>3213</v>
      </c>
      <c r="E282" s="213" t="s">
        <v>65</v>
      </c>
      <c r="F282" s="189" t="s">
        <v>712</v>
      </c>
      <c r="G282" s="234"/>
      <c r="H282" s="470"/>
      <c r="I282" s="465"/>
    </row>
    <row r="283" spans="1:9" ht="25.5">
      <c r="A283" s="246" t="s">
        <v>50</v>
      </c>
      <c r="B283" s="201">
        <v>12</v>
      </c>
      <c r="C283" s="191" t="s">
        <v>22</v>
      </c>
      <c r="D283" s="207">
        <v>3221</v>
      </c>
      <c r="E283" s="213" t="s">
        <v>66</v>
      </c>
      <c r="F283" s="189" t="s">
        <v>712</v>
      </c>
      <c r="G283" s="234"/>
      <c r="H283" s="470"/>
      <c r="I283" s="465"/>
    </row>
    <row r="284" spans="1:9">
      <c r="A284" s="246" t="s">
        <v>50</v>
      </c>
      <c r="B284" s="201">
        <v>12</v>
      </c>
      <c r="C284" s="191" t="s">
        <v>22</v>
      </c>
      <c r="D284" s="207">
        <v>3223</v>
      </c>
      <c r="E284" s="213" t="s">
        <v>78</v>
      </c>
      <c r="F284" s="189" t="s">
        <v>712</v>
      </c>
      <c r="G284" s="234"/>
      <c r="H284" s="470"/>
      <c r="I284" s="465"/>
    </row>
    <row r="285" spans="1:9">
      <c r="A285" s="246" t="s">
        <v>50</v>
      </c>
      <c r="B285" s="201">
        <v>12</v>
      </c>
      <c r="C285" s="191" t="s">
        <v>22</v>
      </c>
      <c r="D285" s="207">
        <v>3233</v>
      </c>
      <c r="E285" s="213" t="s">
        <v>82</v>
      </c>
      <c r="F285" s="189" t="s">
        <v>712</v>
      </c>
      <c r="G285" s="234"/>
      <c r="H285" s="470"/>
      <c r="I285" s="465"/>
    </row>
    <row r="286" spans="1:9">
      <c r="A286" s="246" t="s">
        <v>50</v>
      </c>
      <c r="B286" s="201">
        <v>12</v>
      </c>
      <c r="C286" s="191" t="s">
        <v>22</v>
      </c>
      <c r="D286" s="207">
        <v>3237</v>
      </c>
      <c r="E286" s="213" t="s">
        <v>63</v>
      </c>
      <c r="F286" s="189" t="s">
        <v>712</v>
      </c>
      <c r="G286" s="234"/>
      <c r="H286" s="470"/>
      <c r="I286" s="465"/>
    </row>
    <row r="287" spans="1:9">
      <c r="A287" s="246" t="s">
        <v>50</v>
      </c>
      <c r="B287" s="201">
        <v>12</v>
      </c>
      <c r="C287" s="191" t="s">
        <v>22</v>
      </c>
      <c r="D287" s="207">
        <v>3238</v>
      </c>
      <c r="E287" s="213" t="s">
        <v>83</v>
      </c>
      <c r="F287" s="189" t="s">
        <v>712</v>
      </c>
      <c r="G287" s="234"/>
      <c r="H287" s="470"/>
      <c r="I287" s="465"/>
    </row>
    <row r="288" spans="1:9">
      <c r="A288" s="246" t="s">
        <v>50</v>
      </c>
      <c r="B288" s="201">
        <v>12</v>
      </c>
      <c r="C288" s="191" t="s">
        <v>22</v>
      </c>
      <c r="D288" s="207">
        <v>3293</v>
      </c>
      <c r="E288" s="213" t="s">
        <v>69</v>
      </c>
      <c r="F288" s="189" t="s">
        <v>712</v>
      </c>
      <c r="G288" s="234"/>
      <c r="H288" s="470"/>
      <c r="I288" s="465"/>
    </row>
    <row r="289" spans="1:9" ht="25.5">
      <c r="A289" s="246" t="s">
        <v>50</v>
      </c>
      <c r="B289" s="201">
        <v>12</v>
      </c>
      <c r="C289" s="191" t="s">
        <v>22</v>
      </c>
      <c r="D289" s="207">
        <v>3693</v>
      </c>
      <c r="E289" s="213" t="s">
        <v>84</v>
      </c>
      <c r="F289" s="189" t="s">
        <v>712</v>
      </c>
      <c r="G289" s="234"/>
      <c r="H289" s="470"/>
      <c r="I289" s="465"/>
    </row>
    <row r="290" spans="1:9">
      <c r="A290" s="246" t="s">
        <v>50</v>
      </c>
      <c r="B290" s="201">
        <v>12</v>
      </c>
      <c r="C290" s="191" t="s">
        <v>22</v>
      </c>
      <c r="D290" s="207">
        <v>4224</v>
      </c>
      <c r="E290" s="213" t="s">
        <v>74</v>
      </c>
      <c r="F290" s="189" t="s">
        <v>712</v>
      </c>
      <c r="G290" s="234"/>
      <c r="H290" s="470"/>
      <c r="I290" s="465"/>
    </row>
    <row r="291" spans="1:9">
      <c r="A291" s="246" t="s">
        <v>50</v>
      </c>
      <c r="B291" s="201">
        <v>12</v>
      </c>
      <c r="C291" s="191" t="s">
        <v>22</v>
      </c>
      <c r="D291" s="207">
        <v>4212</v>
      </c>
      <c r="E291" s="213" t="s">
        <v>59</v>
      </c>
      <c r="F291" s="189" t="s">
        <v>712</v>
      </c>
      <c r="G291" s="234"/>
      <c r="H291" s="470"/>
      <c r="I291" s="465"/>
    </row>
    <row r="292" spans="1:9">
      <c r="A292" s="246" t="s">
        <v>50</v>
      </c>
      <c r="B292" s="201">
        <v>12</v>
      </c>
      <c r="C292" s="191" t="s">
        <v>22</v>
      </c>
      <c r="D292" s="207">
        <v>4221</v>
      </c>
      <c r="E292" s="213" t="s">
        <v>64</v>
      </c>
      <c r="F292" s="189" t="s">
        <v>712</v>
      </c>
      <c r="G292" s="234"/>
      <c r="H292" s="470"/>
      <c r="I292" s="465"/>
    </row>
    <row r="293" spans="1:9" ht="25.5">
      <c r="A293" s="247" t="s">
        <v>50</v>
      </c>
      <c r="B293" s="202">
        <v>12</v>
      </c>
      <c r="C293" s="193" t="s">
        <v>22</v>
      </c>
      <c r="D293" s="208"/>
      <c r="E293" s="214" t="s">
        <v>171</v>
      </c>
      <c r="F293" s="194" t="s">
        <v>712</v>
      </c>
      <c r="G293" s="235">
        <f>SUM(G279:G292)</f>
        <v>0</v>
      </c>
      <c r="H293" s="235">
        <f t="shared" ref="H293:I293" si="14">SUM(H279:H292)</f>
        <v>0</v>
      </c>
      <c r="I293" s="248">
        <f t="shared" si="14"/>
        <v>0</v>
      </c>
    </row>
    <row r="294" spans="1:9">
      <c r="A294" s="246" t="s">
        <v>50</v>
      </c>
      <c r="B294" s="201">
        <v>12</v>
      </c>
      <c r="C294" s="191" t="s">
        <v>22</v>
      </c>
      <c r="D294" s="207">
        <v>3111</v>
      </c>
      <c r="E294" s="213" t="s">
        <v>51</v>
      </c>
      <c r="F294" s="189" t="s">
        <v>713</v>
      </c>
      <c r="G294" s="234"/>
      <c r="H294" s="470"/>
      <c r="I294" s="465"/>
    </row>
    <row r="295" spans="1:9">
      <c r="A295" s="246" t="s">
        <v>50</v>
      </c>
      <c r="B295" s="201">
        <v>12</v>
      </c>
      <c r="C295" s="191" t="s">
        <v>22</v>
      </c>
      <c r="D295" s="207">
        <v>3211</v>
      </c>
      <c r="E295" s="213" t="s">
        <v>61</v>
      </c>
      <c r="F295" s="189" t="s">
        <v>713</v>
      </c>
      <c r="G295" s="234"/>
      <c r="H295" s="470"/>
      <c r="I295" s="465"/>
    </row>
    <row r="296" spans="1:9">
      <c r="A296" s="246" t="s">
        <v>50</v>
      </c>
      <c r="B296" s="201">
        <v>12</v>
      </c>
      <c r="C296" s="191" t="s">
        <v>22</v>
      </c>
      <c r="D296" s="207">
        <v>3213</v>
      </c>
      <c r="E296" s="213" t="s">
        <v>65</v>
      </c>
      <c r="F296" s="189" t="s">
        <v>713</v>
      </c>
      <c r="G296" s="234"/>
      <c r="H296" s="470"/>
      <c r="I296" s="465"/>
    </row>
    <row r="297" spans="1:9" ht="25.5">
      <c r="A297" s="246" t="s">
        <v>50</v>
      </c>
      <c r="B297" s="201">
        <v>12</v>
      </c>
      <c r="C297" s="191" t="s">
        <v>22</v>
      </c>
      <c r="D297" s="207">
        <v>3221</v>
      </c>
      <c r="E297" s="213" t="s">
        <v>66</v>
      </c>
      <c r="F297" s="189" t="s">
        <v>713</v>
      </c>
      <c r="G297" s="234"/>
      <c r="H297" s="470"/>
      <c r="I297" s="465"/>
    </row>
    <row r="298" spans="1:9">
      <c r="A298" s="246" t="s">
        <v>50</v>
      </c>
      <c r="B298" s="201">
        <v>12</v>
      </c>
      <c r="C298" s="191" t="s">
        <v>22</v>
      </c>
      <c r="D298" s="207">
        <v>3223</v>
      </c>
      <c r="E298" s="213" t="s">
        <v>78</v>
      </c>
      <c r="F298" s="189" t="s">
        <v>713</v>
      </c>
      <c r="G298" s="234"/>
      <c r="H298" s="470"/>
      <c r="I298" s="465"/>
    </row>
    <row r="299" spans="1:9">
      <c r="A299" s="246" t="s">
        <v>50</v>
      </c>
      <c r="B299" s="201">
        <v>12</v>
      </c>
      <c r="C299" s="191" t="s">
        <v>22</v>
      </c>
      <c r="D299" s="207">
        <v>3233</v>
      </c>
      <c r="E299" s="213" t="s">
        <v>82</v>
      </c>
      <c r="F299" s="189" t="s">
        <v>713</v>
      </c>
      <c r="G299" s="234"/>
      <c r="H299" s="470"/>
      <c r="I299" s="465"/>
    </row>
    <row r="300" spans="1:9">
      <c r="A300" s="246" t="s">
        <v>50</v>
      </c>
      <c r="B300" s="201">
        <v>12</v>
      </c>
      <c r="C300" s="191" t="s">
        <v>22</v>
      </c>
      <c r="D300" s="207">
        <v>3237</v>
      </c>
      <c r="E300" s="213" t="s">
        <v>63</v>
      </c>
      <c r="F300" s="189" t="s">
        <v>713</v>
      </c>
      <c r="G300" s="234"/>
      <c r="H300" s="470"/>
      <c r="I300" s="465"/>
    </row>
    <row r="301" spans="1:9">
      <c r="A301" s="246" t="s">
        <v>50</v>
      </c>
      <c r="B301" s="201">
        <v>12</v>
      </c>
      <c r="C301" s="191" t="s">
        <v>22</v>
      </c>
      <c r="D301" s="207">
        <v>3293</v>
      </c>
      <c r="E301" s="213" t="s">
        <v>69</v>
      </c>
      <c r="F301" s="189" t="s">
        <v>713</v>
      </c>
      <c r="G301" s="234"/>
      <c r="H301" s="470"/>
      <c r="I301" s="465"/>
    </row>
    <row r="302" spans="1:9">
      <c r="A302" s="246" t="s">
        <v>50</v>
      </c>
      <c r="B302" s="201">
        <v>12</v>
      </c>
      <c r="C302" s="191" t="s">
        <v>22</v>
      </c>
      <c r="D302" s="207">
        <v>3299</v>
      </c>
      <c r="E302" s="213" t="s">
        <v>58</v>
      </c>
      <c r="F302" s="189" t="s">
        <v>713</v>
      </c>
      <c r="G302" s="234"/>
      <c r="H302" s="470"/>
      <c r="I302" s="465"/>
    </row>
    <row r="303" spans="1:9" ht="25.5">
      <c r="A303" s="246" t="s">
        <v>50</v>
      </c>
      <c r="B303" s="201">
        <v>12</v>
      </c>
      <c r="C303" s="191" t="s">
        <v>22</v>
      </c>
      <c r="D303" s="207">
        <v>3691</v>
      </c>
      <c r="E303" s="213" t="s">
        <v>84</v>
      </c>
      <c r="F303" s="189" t="s">
        <v>713</v>
      </c>
      <c r="G303" s="234"/>
      <c r="H303" s="470"/>
      <c r="I303" s="465"/>
    </row>
    <row r="304" spans="1:9" ht="25.5">
      <c r="A304" s="246" t="s">
        <v>50</v>
      </c>
      <c r="B304" s="201">
        <v>12</v>
      </c>
      <c r="C304" s="191" t="s">
        <v>22</v>
      </c>
      <c r="D304" s="207">
        <v>3693</v>
      </c>
      <c r="E304" s="213" t="s">
        <v>84</v>
      </c>
      <c r="F304" s="189" t="s">
        <v>713</v>
      </c>
      <c r="G304" s="234"/>
      <c r="H304" s="470"/>
      <c r="I304" s="465"/>
    </row>
    <row r="305" spans="1:9">
      <c r="A305" s="246" t="s">
        <v>50</v>
      </c>
      <c r="B305" s="201">
        <v>12</v>
      </c>
      <c r="C305" s="191" t="s">
        <v>22</v>
      </c>
      <c r="D305" s="207">
        <v>4224</v>
      </c>
      <c r="E305" s="213" t="s">
        <v>74</v>
      </c>
      <c r="F305" s="189" t="s">
        <v>713</v>
      </c>
      <c r="G305" s="234"/>
      <c r="H305" s="470"/>
      <c r="I305" s="465"/>
    </row>
    <row r="306" spans="1:9">
      <c r="A306" s="246" t="s">
        <v>50</v>
      </c>
      <c r="B306" s="201">
        <v>12</v>
      </c>
      <c r="C306" s="191" t="s">
        <v>22</v>
      </c>
      <c r="D306" s="207">
        <v>4262</v>
      </c>
      <c r="E306" s="213" t="s">
        <v>87</v>
      </c>
      <c r="F306" s="189" t="s">
        <v>713</v>
      </c>
      <c r="G306" s="234"/>
      <c r="H306" s="470"/>
      <c r="I306" s="465"/>
    </row>
    <row r="307" spans="1:9" ht="25.5">
      <c r="A307" s="247" t="s">
        <v>50</v>
      </c>
      <c r="B307" s="202">
        <v>12</v>
      </c>
      <c r="C307" s="193" t="s">
        <v>22</v>
      </c>
      <c r="D307" s="208"/>
      <c r="E307" s="214" t="s">
        <v>171</v>
      </c>
      <c r="F307" s="194" t="s">
        <v>713</v>
      </c>
      <c r="G307" s="235">
        <f>SUM(G294:G306)</f>
        <v>0</v>
      </c>
      <c r="H307" s="235">
        <f t="shared" ref="H307:I307" si="15">SUM(H294:H306)</f>
        <v>0</v>
      </c>
      <c r="I307" s="248">
        <f t="shared" si="15"/>
        <v>0</v>
      </c>
    </row>
    <row r="308" spans="1:9" ht="25.5">
      <c r="A308" s="249" t="s">
        <v>50</v>
      </c>
      <c r="B308" s="204">
        <v>12</v>
      </c>
      <c r="C308" s="195" t="s">
        <v>22</v>
      </c>
      <c r="D308" s="211"/>
      <c r="E308" s="216" t="s">
        <v>714</v>
      </c>
      <c r="F308" s="196"/>
      <c r="G308" s="237">
        <f>G293+G307</f>
        <v>0</v>
      </c>
      <c r="H308" s="237">
        <f t="shared" ref="H308:I308" si="16">H293+H307</f>
        <v>0</v>
      </c>
      <c r="I308" s="250">
        <f t="shared" si="16"/>
        <v>0</v>
      </c>
    </row>
    <row r="309" spans="1:9" ht="25.5">
      <c r="A309" s="246" t="s">
        <v>50</v>
      </c>
      <c r="B309" s="201">
        <v>561</v>
      </c>
      <c r="C309" s="191" t="s">
        <v>39</v>
      </c>
      <c r="D309" s="207">
        <v>3111</v>
      </c>
      <c r="E309" s="213" t="s">
        <v>51</v>
      </c>
      <c r="F309" s="189" t="s">
        <v>713</v>
      </c>
      <c r="G309" s="234"/>
      <c r="H309" s="470"/>
      <c r="I309" s="465"/>
    </row>
    <row r="310" spans="1:9" ht="25.5">
      <c r="A310" s="246" t="s">
        <v>50</v>
      </c>
      <c r="B310" s="201">
        <v>561</v>
      </c>
      <c r="C310" s="191" t="s">
        <v>39</v>
      </c>
      <c r="D310" s="207">
        <v>3211</v>
      </c>
      <c r="E310" s="213" t="s">
        <v>61</v>
      </c>
      <c r="F310" s="189" t="s">
        <v>713</v>
      </c>
      <c r="G310" s="234"/>
      <c r="H310" s="470"/>
      <c r="I310" s="465"/>
    </row>
    <row r="311" spans="1:9" ht="25.5">
      <c r="A311" s="246" t="s">
        <v>50</v>
      </c>
      <c r="B311" s="201">
        <v>561</v>
      </c>
      <c r="C311" s="191" t="s">
        <v>39</v>
      </c>
      <c r="D311" s="207">
        <v>3213</v>
      </c>
      <c r="E311" s="213" t="s">
        <v>65</v>
      </c>
      <c r="F311" s="189" t="s">
        <v>713</v>
      </c>
      <c r="G311" s="234"/>
      <c r="H311" s="470"/>
      <c r="I311" s="465"/>
    </row>
    <row r="312" spans="1:9" ht="25.5">
      <c r="A312" s="246" t="s">
        <v>50</v>
      </c>
      <c r="B312" s="201">
        <v>561</v>
      </c>
      <c r="C312" s="191" t="s">
        <v>39</v>
      </c>
      <c r="D312" s="207">
        <v>3221</v>
      </c>
      <c r="E312" s="213" t="s">
        <v>66</v>
      </c>
      <c r="F312" s="189" t="s">
        <v>713</v>
      </c>
      <c r="G312" s="234"/>
      <c r="H312" s="470"/>
      <c r="I312" s="465"/>
    </row>
    <row r="313" spans="1:9" ht="25.5">
      <c r="A313" s="246" t="s">
        <v>50</v>
      </c>
      <c r="B313" s="201">
        <v>561</v>
      </c>
      <c r="C313" s="191" t="s">
        <v>39</v>
      </c>
      <c r="D313" s="207">
        <v>3222</v>
      </c>
      <c r="E313" s="213" t="s">
        <v>77</v>
      </c>
      <c r="F313" s="189" t="s">
        <v>713</v>
      </c>
      <c r="G313" s="234"/>
      <c r="H313" s="470"/>
      <c r="I313" s="465"/>
    </row>
    <row r="314" spans="1:9" ht="25.5">
      <c r="A314" s="246" t="s">
        <v>50</v>
      </c>
      <c r="B314" s="201">
        <v>561</v>
      </c>
      <c r="C314" s="191" t="s">
        <v>39</v>
      </c>
      <c r="D314" s="207">
        <v>3223</v>
      </c>
      <c r="E314" s="213" t="s">
        <v>78</v>
      </c>
      <c r="F314" s="189" t="s">
        <v>713</v>
      </c>
      <c r="G314" s="234"/>
      <c r="H314" s="470"/>
      <c r="I314" s="465"/>
    </row>
    <row r="315" spans="1:9" ht="25.5">
      <c r="A315" s="246" t="s">
        <v>50</v>
      </c>
      <c r="B315" s="201">
        <v>561</v>
      </c>
      <c r="C315" s="191" t="s">
        <v>39</v>
      </c>
      <c r="D315" s="207">
        <v>3231</v>
      </c>
      <c r="E315" s="213" t="s">
        <v>80</v>
      </c>
      <c r="F315" s="189" t="s">
        <v>713</v>
      </c>
      <c r="G315" s="234"/>
      <c r="H315" s="470"/>
      <c r="I315" s="465"/>
    </row>
    <row r="316" spans="1:9" ht="25.5">
      <c r="A316" s="246" t="s">
        <v>50</v>
      </c>
      <c r="B316" s="201">
        <v>561</v>
      </c>
      <c r="C316" s="191" t="s">
        <v>39</v>
      </c>
      <c r="D316" s="207">
        <v>3233</v>
      </c>
      <c r="E316" s="213" t="s">
        <v>82</v>
      </c>
      <c r="F316" s="189" t="s">
        <v>713</v>
      </c>
      <c r="G316" s="234"/>
      <c r="H316" s="470"/>
      <c r="I316" s="465"/>
    </row>
    <row r="317" spans="1:9" ht="25.5">
      <c r="A317" s="246" t="s">
        <v>50</v>
      </c>
      <c r="B317" s="201">
        <v>561</v>
      </c>
      <c r="C317" s="191" t="s">
        <v>39</v>
      </c>
      <c r="D317" s="207">
        <v>3237</v>
      </c>
      <c r="E317" s="213" t="s">
        <v>63</v>
      </c>
      <c r="F317" s="189" t="s">
        <v>713</v>
      </c>
      <c r="G317" s="234"/>
      <c r="H317" s="470"/>
      <c r="I317" s="465"/>
    </row>
    <row r="318" spans="1:9" ht="25.5">
      <c r="A318" s="246" t="s">
        <v>50</v>
      </c>
      <c r="B318" s="201">
        <v>561</v>
      </c>
      <c r="C318" s="191" t="s">
        <v>39</v>
      </c>
      <c r="D318" s="207">
        <v>3241</v>
      </c>
      <c r="E318" s="213" t="s">
        <v>68</v>
      </c>
      <c r="F318" s="189" t="s">
        <v>713</v>
      </c>
      <c r="G318" s="234"/>
      <c r="H318" s="470"/>
      <c r="I318" s="465"/>
    </row>
    <row r="319" spans="1:9" ht="25.5">
      <c r="A319" s="246" t="s">
        <v>50</v>
      </c>
      <c r="B319" s="201">
        <v>561</v>
      </c>
      <c r="C319" s="191" t="s">
        <v>39</v>
      </c>
      <c r="D319" s="207">
        <v>3293</v>
      </c>
      <c r="E319" s="213" t="s">
        <v>69</v>
      </c>
      <c r="F319" s="189" t="s">
        <v>713</v>
      </c>
      <c r="G319" s="234"/>
      <c r="H319" s="470"/>
      <c r="I319" s="465"/>
    </row>
    <row r="320" spans="1:9" ht="25.5">
      <c r="A320" s="246" t="s">
        <v>50</v>
      </c>
      <c r="B320" s="201">
        <v>561</v>
      </c>
      <c r="C320" s="191" t="s">
        <v>39</v>
      </c>
      <c r="D320" s="207">
        <v>3299</v>
      </c>
      <c r="E320" s="213" t="s">
        <v>58</v>
      </c>
      <c r="F320" s="189" t="s">
        <v>713</v>
      </c>
      <c r="G320" s="234"/>
      <c r="H320" s="470"/>
      <c r="I320" s="465"/>
    </row>
    <row r="321" spans="1:9" ht="25.5">
      <c r="A321" s="246" t="s">
        <v>50</v>
      </c>
      <c r="B321" s="201">
        <v>561</v>
      </c>
      <c r="C321" s="191" t="s">
        <v>39</v>
      </c>
      <c r="D321" s="207">
        <v>3691</v>
      </c>
      <c r="E321" s="213" t="s">
        <v>84</v>
      </c>
      <c r="F321" s="189" t="s">
        <v>713</v>
      </c>
      <c r="G321" s="234"/>
      <c r="H321" s="470"/>
      <c r="I321" s="465"/>
    </row>
    <row r="322" spans="1:9" ht="25.5">
      <c r="A322" s="246" t="s">
        <v>50</v>
      </c>
      <c r="B322" s="201">
        <v>561</v>
      </c>
      <c r="C322" s="191" t="s">
        <v>39</v>
      </c>
      <c r="D322" s="207">
        <v>3693</v>
      </c>
      <c r="E322" s="213" t="s">
        <v>84</v>
      </c>
      <c r="F322" s="189" t="s">
        <v>713</v>
      </c>
      <c r="G322" s="234"/>
      <c r="H322" s="470"/>
      <c r="I322" s="465"/>
    </row>
    <row r="323" spans="1:9" ht="25.5">
      <c r="A323" s="246" t="s">
        <v>50</v>
      </c>
      <c r="B323" s="201">
        <v>561</v>
      </c>
      <c r="C323" s="191" t="s">
        <v>39</v>
      </c>
      <c r="D323" s="207">
        <v>4224</v>
      </c>
      <c r="E323" s="213" t="s">
        <v>74</v>
      </c>
      <c r="F323" s="189" t="s">
        <v>713</v>
      </c>
      <c r="G323" s="234"/>
      <c r="H323" s="470"/>
      <c r="I323" s="465"/>
    </row>
    <row r="324" spans="1:9" ht="25.5">
      <c r="A324" s="246" t="s">
        <v>50</v>
      </c>
      <c r="B324" s="201">
        <v>561</v>
      </c>
      <c r="C324" s="191" t="s">
        <v>39</v>
      </c>
      <c r="D324" s="207">
        <v>4262</v>
      </c>
      <c r="E324" s="213" t="s">
        <v>87</v>
      </c>
      <c r="F324" s="189" t="s">
        <v>713</v>
      </c>
      <c r="G324" s="234"/>
      <c r="H324" s="470"/>
      <c r="I324" s="465"/>
    </row>
    <row r="325" spans="1:9" ht="25.5">
      <c r="A325" s="249" t="s">
        <v>50</v>
      </c>
      <c r="B325" s="204">
        <v>561</v>
      </c>
      <c r="C325" s="195" t="s">
        <v>39</v>
      </c>
      <c r="D325" s="211"/>
      <c r="E325" s="216" t="s">
        <v>171</v>
      </c>
      <c r="F325" s="196" t="s">
        <v>713</v>
      </c>
      <c r="G325" s="237">
        <f>SUM(G309:G324)</f>
        <v>0</v>
      </c>
      <c r="H325" s="237">
        <f t="shared" ref="H325:I325" si="17">SUM(H309:H324)</f>
        <v>0</v>
      </c>
      <c r="I325" s="443">
        <f t="shared" si="17"/>
        <v>0</v>
      </c>
    </row>
    <row r="326" spans="1:9" ht="25.5">
      <c r="A326" s="246" t="s">
        <v>50</v>
      </c>
      <c r="B326" s="201">
        <v>563</v>
      </c>
      <c r="C326" s="191" t="s">
        <v>40</v>
      </c>
      <c r="D326" s="207">
        <v>3111</v>
      </c>
      <c r="E326" s="213" t="s">
        <v>51</v>
      </c>
      <c r="F326" s="189" t="s">
        <v>712</v>
      </c>
      <c r="G326" s="234"/>
      <c r="H326" s="470"/>
      <c r="I326" s="465"/>
    </row>
    <row r="327" spans="1:9" ht="25.5">
      <c r="A327" s="246" t="s">
        <v>50</v>
      </c>
      <c r="B327" s="201">
        <v>563</v>
      </c>
      <c r="C327" s="191" t="s">
        <v>40</v>
      </c>
      <c r="D327" s="207">
        <v>3132</v>
      </c>
      <c r="E327" s="213" t="s">
        <v>53</v>
      </c>
      <c r="F327" s="189" t="s">
        <v>712</v>
      </c>
      <c r="G327" s="234"/>
      <c r="H327" s="470"/>
      <c r="I327" s="465"/>
    </row>
    <row r="328" spans="1:9" ht="25.5">
      <c r="A328" s="246" t="s">
        <v>50</v>
      </c>
      <c r="B328" s="201">
        <v>563</v>
      </c>
      <c r="C328" s="191" t="s">
        <v>40</v>
      </c>
      <c r="D328" s="207">
        <v>3211</v>
      </c>
      <c r="E328" s="213" t="s">
        <v>61</v>
      </c>
      <c r="F328" s="189" t="s">
        <v>712</v>
      </c>
      <c r="G328" s="234"/>
      <c r="H328" s="470"/>
      <c r="I328" s="465"/>
    </row>
    <row r="329" spans="1:9" ht="25.5">
      <c r="A329" s="246" t="s">
        <v>50</v>
      </c>
      <c r="B329" s="201">
        <v>563</v>
      </c>
      <c r="C329" s="191" t="s">
        <v>40</v>
      </c>
      <c r="D329" s="207">
        <v>3213</v>
      </c>
      <c r="E329" s="213" t="s">
        <v>65</v>
      </c>
      <c r="F329" s="189" t="s">
        <v>712</v>
      </c>
      <c r="G329" s="234"/>
      <c r="H329" s="470"/>
      <c r="I329" s="465"/>
    </row>
    <row r="330" spans="1:9" ht="25.5">
      <c r="A330" s="246" t="s">
        <v>50</v>
      </c>
      <c r="B330" s="201">
        <v>563</v>
      </c>
      <c r="C330" s="191" t="s">
        <v>40</v>
      </c>
      <c r="D330" s="207">
        <v>3221</v>
      </c>
      <c r="E330" s="213" t="s">
        <v>66</v>
      </c>
      <c r="F330" s="189" t="s">
        <v>712</v>
      </c>
      <c r="G330" s="234"/>
      <c r="H330" s="470"/>
      <c r="I330" s="465"/>
    </row>
    <row r="331" spans="1:9" ht="25.5">
      <c r="A331" s="246" t="s">
        <v>50</v>
      </c>
      <c r="B331" s="201">
        <v>563</v>
      </c>
      <c r="C331" s="191" t="s">
        <v>40</v>
      </c>
      <c r="D331" s="207">
        <v>3223</v>
      </c>
      <c r="E331" s="213" t="s">
        <v>78</v>
      </c>
      <c r="F331" s="189" t="s">
        <v>712</v>
      </c>
      <c r="G331" s="234"/>
      <c r="H331" s="470"/>
      <c r="I331" s="465"/>
    </row>
    <row r="332" spans="1:9" ht="25.5">
      <c r="A332" s="246" t="s">
        <v>50</v>
      </c>
      <c r="B332" s="201">
        <v>563</v>
      </c>
      <c r="C332" s="191" t="s">
        <v>40</v>
      </c>
      <c r="D332" s="207">
        <v>3233</v>
      </c>
      <c r="E332" s="213" t="s">
        <v>82</v>
      </c>
      <c r="F332" s="189" t="s">
        <v>712</v>
      </c>
      <c r="G332" s="234"/>
      <c r="H332" s="470"/>
      <c r="I332" s="465"/>
    </row>
    <row r="333" spans="1:9" ht="25.5">
      <c r="A333" s="246" t="s">
        <v>50</v>
      </c>
      <c r="B333" s="201">
        <v>563</v>
      </c>
      <c r="C333" s="191" t="s">
        <v>40</v>
      </c>
      <c r="D333" s="207">
        <v>3237</v>
      </c>
      <c r="E333" s="213" t="s">
        <v>63</v>
      </c>
      <c r="F333" s="189" t="s">
        <v>712</v>
      </c>
      <c r="G333" s="234"/>
      <c r="H333" s="470"/>
      <c r="I333" s="465"/>
    </row>
    <row r="334" spans="1:9" ht="25.5">
      <c r="A334" s="246" t="s">
        <v>50</v>
      </c>
      <c r="B334" s="201">
        <v>563</v>
      </c>
      <c r="C334" s="191" t="s">
        <v>40</v>
      </c>
      <c r="D334" s="207">
        <v>3238</v>
      </c>
      <c r="E334" s="213" t="s">
        <v>83</v>
      </c>
      <c r="F334" s="189" t="s">
        <v>712</v>
      </c>
      <c r="G334" s="234"/>
      <c r="H334" s="470"/>
      <c r="I334" s="465"/>
    </row>
    <row r="335" spans="1:9" ht="25.5">
      <c r="A335" s="246" t="s">
        <v>50</v>
      </c>
      <c r="B335" s="201">
        <v>563</v>
      </c>
      <c r="C335" s="191" t="s">
        <v>40</v>
      </c>
      <c r="D335" s="207">
        <v>3293</v>
      </c>
      <c r="E335" s="213" t="s">
        <v>69</v>
      </c>
      <c r="F335" s="189" t="s">
        <v>712</v>
      </c>
      <c r="G335" s="234"/>
      <c r="H335" s="470"/>
      <c r="I335" s="465"/>
    </row>
    <row r="336" spans="1:9" ht="25.5">
      <c r="A336" s="246" t="s">
        <v>50</v>
      </c>
      <c r="B336" s="201">
        <v>563</v>
      </c>
      <c r="C336" s="191" t="s">
        <v>40</v>
      </c>
      <c r="D336" s="207">
        <v>3693</v>
      </c>
      <c r="E336" s="213" t="s">
        <v>84</v>
      </c>
      <c r="F336" s="189" t="s">
        <v>712</v>
      </c>
      <c r="G336" s="234"/>
      <c r="H336" s="470"/>
      <c r="I336" s="465"/>
    </row>
    <row r="337" spans="1:12" ht="25.5">
      <c r="A337" s="246" t="s">
        <v>50</v>
      </c>
      <c r="B337" s="201">
        <v>563</v>
      </c>
      <c r="C337" s="191" t="s">
        <v>40</v>
      </c>
      <c r="D337" s="207">
        <v>4212</v>
      </c>
      <c r="E337" s="213" t="s">
        <v>59</v>
      </c>
      <c r="F337" s="189" t="s">
        <v>712</v>
      </c>
      <c r="G337" s="234"/>
      <c r="H337" s="470"/>
      <c r="I337" s="465"/>
    </row>
    <row r="338" spans="1:12" ht="25.5">
      <c r="A338" s="246" t="s">
        <v>50</v>
      </c>
      <c r="B338" s="201">
        <v>563</v>
      </c>
      <c r="C338" s="191" t="s">
        <v>40</v>
      </c>
      <c r="D338" s="207">
        <v>4221</v>
      </c>
      <c r="E338" s="213" t="s">
        <v>64</v>
      </c>
      <c r="F338" s="189" t="s">
        <v>712</v>
      </c>
      <c r="G338" s="234"/>
      <c r="H338" s="470"/>
      <c r="I338" s="465"/>
    </row>
    <row r="339" spans="1:12" ht="25.5">
      <c r="A339" s="246" t="s">
        <v>50</v>
      </c>
      <c r="B339" s="201">
        <v>563</v>
      </c>
      <c r="C339" s="191" t="s">
        <v>40</v>
      </c>
      <c r="D339" s="207">
        <v>4224</v>
      </c>
      <c r="E339" s="213" t="s">
        <v>74</v>
      </c>
      <c r="F339" s="189" t="s">
        <v>712</v>
      </c>
      <c r="G339" s="234"/>
      <c r="H339" s="470"/>
      <c r="I339" s="465"/>
    </row>
    <row r="340" spans="1:12" ht="25.5">
      <c r="A340" s="270" t="s">
        <v>50</v>
      </c>
      <c r="B340" s="271">
        <v>563</v>
      </c>
      <c r="C340" s="272" t="s">
        <v>40</v>
      </c>
      <c r="D340" s="273"/>
      <c r="E340" s="274" t="s">
        <v>171</v>
      </c>
      <c r="F340" s="275" t="s">
        <v>712</v>
      </c>
      <c r="G340" s="276">
        <f>SUM(G326:G339)</f>
        <v>0</v>
      </c>
      <c r="H340" s="276">
        <f t="shared" ref="H340:I340" si="18">SUM(H326:H339)</f>
        <v>0</v>
      </c>
      <c r="I340" s="277">
        <f t="shared" si="18"/>
        <v>0</v>
      </c>
    </row>
    <row r="341" spans="1:12" s="497" customFormat="1">
      <c r="A341" s="514" t="s">
        <v>773</v>
      </c>
      <c r="B341" s="507"/>
      <c r="C341" s="508"/>
      <c r="D341" s="509"/>
      <c r="E341" s="510"/>
      <c r="F341" s="511"/>
      <c r="G341" s="512"/>
      <c r="H341" s="512"/>
      <c r="I341" s="513"/>
    </row>
    <row r="342" spans="1:12" s="497" customFormat="1">
      <c r="A342" s="498" t="s">
        <v>50</v>
      </c>
      <c r="B342" s="499">
        <v>52</v>
      </c>
      <c r="C342" s="500" t="s">
        <v>33</v>
      </c>
      <c r="D342" s="501">
        <v>3813</v>
      </c>
      <c r="E342" s="502" t="s">
        <v>772</v>
      </c>
      <c r="F342" s="503" t="s">
        <v>704</v>
      </c>
      <c r="G342" s="504"/>
      <c r="H342" s="505">
        <v>225154.81</v>
      </c>
      <c r="I342" s="506">
        <v>225500</v>
      </c>
      <c r="J342" s="497" t="s">
        <v>773</v>
      </c>
    </row>
    <row r="343" spans="1:12" s="497" customFormat="1">
      <c r="A343" s="498" t="s">
        <v>50</v>
      </c>
      <c r="B343" s="499">
        <v>51</v>
      </c>
      <c r="C343" s="500" t="s">
        <v>31</v>
      </c>
      <c r="D343" s="501">
        <v>3299</v>
      </c>
      <c r="E343" s="502" t="s">
        <v>58</v>
      </c>
      <c r="F343" s="503" t="s">
        <v>703</v>
      </c>
      <c r="G343" s="504"/>
      <c r="H343" s="505"/>
      <c r="I343" s="506">
        <v>91000</v>
      </c>
      <c r="J343" s="497" t="s">
        <v>773</v>
      </c>
    </row>
    <row r="344" spans="1:12" s="497" customFormat="1">
      <c r="A344" s="498" t="s">
        <v>50</v>
      </c>
      <c r="B344" s="499">
        <v>52</v>
      </c>
      <c r="C344" s="500" t="s">
        <v>33</v>
      </c>
      <c r="D344" s="501">
        <v>4221</v>
      </c>
      <c r="E344" s="502" t="s">
        <v>64</v>
      </c>
      <c r="F344" s="503" t="s">
        <v>704</v>
      </c>
      <c r="G344" s="504"/>
      <c r="H344" s="505"/>
      <c r="I344" s="506">
        <v>8000</v>
      </c>
      <c r="J344" s="497" t="s">
        <v>773</v>
      </c>
      <c r="L344" s="497" t="s">
        <v>770</v>
      </c>
    </row>
    <row r="345" spans="1:12" ht="28.5" customHeight="1" thickBot="1">
      <c r="A345" s="490" t="s">
        <v>50</v>
      </c>
      <c r="B345" s="491"/>
      <c r="C345" s="492"/>
      <c r="D345" s="493"/>
      <c r="E345" s="494" t="s">
        <v>711</v>
      </c>
      <c r="F345" s="495"/>
      <c r="G345" s="496">
        <f>G59+G103+G168+G191+G242+G273+G278+G308+G325+G340+G342+G343+G344</f>
        <v>35356229</v>
      </c>
      <c r="H345" s="496">
        <f t="shared" ref="H345:I345" si="19">H59+H103+H168+H191+H242+H273+H278+H308+H325+H340+H342+H343+H344</f>
        <v>23653306.669999998</v>
      </c>
      <c r="I345" s="496">
        <f t="shared" si="19"/>
        <v>30083000</v>
      </c>
    </row>
    <row r="346" spans="1:12" ht="13.5" thickBot="1">
      <c r="A346" s="278"/>
      <c r="B346" s="279"/>
      <c r="C346" s="280"/>
      <c r="D346" s="281"/>
      <c r="E346" s="282"/>
      <c r="F346" s="283"/>
      <c r="G346" s="284"/>
      <c r="H346" s="471"/>
      <c r="I346" s="466"/>
      <c r="K346" s="148">
        <v>35356229</v>
      </c>
    </row>
    <row r="347" spans="1:12" ht="38.25">
      <c r="A347" s="261" t="s">
        <v>17</v>
      </c>
      <c r="B347" s="262">
        <v>11</v>
      </c>
      <c r="C347" s="263" t="s">
        <v>20</v>
      </c>
      <c r="D347" s="264" t="s">
        <v>715</v>
      </c>
      <c r="E347" s="265" t="s">
        <v>21</v>
      </c>
      <c r="F347" s="266"/>
      <c r="G347" s="267">
        <v>17261248</v>
      </c>
      <c r="H347" s="267">
        <v>15188293.189999999</v>
      </c>
      <c r="I347" s="268">
        <v>18609800</v>
      </c>
      <c r="K347" s="446">
        <f>+K346-G345</f>
        <v>0</v>
      </c>
    </row>
    <row r="348" spans="1:12" ht="38.25">
      <c r="A348" s="249" t="s">
        <v>17</v>
      </c>
      <c r="B348" s="204">
        <v>12</v>
      </c>
      <c r="C348" s="195" t="s">
        <v>22</v>
      </c>
      <c r="D348" s="211" t="s">
        <v>722</v>
      </c>
      <c r="E348" s="216" t="s">
        <v>21</v>
      </c>
      <c r="F348" s="196"/>
      <c r="G348" s="237">
        <v>0</v>
      </c>
      <c r="H348" s="237">
        <v>0</v>
      </c>
      <c r="I348" s="250">
        <v>0</v>
      </c>
    </row>
    <row r="349" spans="1:12">
      <c r="A349" s="246" t="s">
        <v>17</v>
      </c>
      <c r="B349" s="201">
        <v>31</v>
      </c>
      <c r="C349" s="191" t="s">
        <v>23</v>
      </c>
      <c r="D349" s="207">
        <v>641310031</v>
      </c>
      <c r="E349" s="213" t="s">
        <v>24</v>
      </c>
      <c r="F349" s="189"/>
      <c r="G349" s="234"/>
      <c r="H349" s="470"/>
      <c r="I349" s="465"/>
    </row>
    <row r="350" spans="1:12" ht="25.5">
      <c r="A350" s="246" t="s">
        <v>17</v>
      </c>
      <c r="B350" s="201">
        <v>31</v>
      </c>
      <c r="C350" s="191" t="s">
        <v>23</v>
      </c>
      <c r="D350" s="207">
        <v>641320031</v>
      </c>
      <c r="E350" s="213" t="s">
        <v>25</v>
      </c>
      <c r="F350" s="189"/>
      <c r="G350" s="234">
        <v>4000</v>
      </c>
      <c r="H350" s="470">
        <v>184.32</v>
      </c>
      <c r="I350" s="465">
        <v>500</v>
      </c>
    </row>
    <row r="351" spans="1:12">
      <c r="A351" s="246" t="s">
        <v>17</v>
      </c>
      <c r="B351" s="201">
        <v>31</v>
      </c>
      <c r="C351" s="191" t="s">
        <v>23</v>
      </c>
      <c r="D351" s="207">
        <v>6614</v>
      </c>
      <c r="E351" s="213" t="s">
        <v>26</v>
      </c>
      <c r="F351" s="189"/>
      <c r="G351" s="234">
        <v>15000</v>
      </c>
      <c r="H351" s="470">
        <v>7545.5</v>
      </c>
      <c r="I351" s="465">
        <v>7000</v>
      </c>
    </row>
    <row r="352" spans="1:12">
      <c r="A352" s="246" t="s">
        <v>17</v>
      </c>
      <c r="B352" s="201">
        <v>31</v>
      </c>
      <c r="C352" s="191" t="s">
        <v>23</v>
      </c>
      <c r="D352" s="207">
        <v>6615</v>
      </c>
      <c r="E352" s="213" t="s">
        <v>27</v>
      </c>
      <c r="F352" s="189"/>
      <c r="G352" s="234">
        <v>296000</v>
      </c>
      <c r="H352" s="470">
        <v>89749.55</v>
      </c>
      <c r="I352" s="465">
        <v>94500</v>
      </c>
    </row>
    <row r="353" spans="1:9">
      <c r="A353" s="249" t="s">
        <v>17</v>
      </c>
      <c r="B353" s="204">
        <v>31</v>
      </c>
      <c r="C353" s="195" t="s">
        <v>23</v>
      </c>
      <c r="D353" s="211"/>
      <c r="E353" s="216" t="s">
        <v>716</v>
      </c>
      <c r="F353" s="196"/>
      <c r="G353" s="237">
        <f>SUM(G349:G352)</f>
        <v>315000</v>
      </c>
      <c r="H353" s="237">
        <f t="shared" ref="H353:I353" si="20">SUM(H349:H352)</f>
        <v>97479.37</v>
      </c>
      <c r="I353" s="250">
        <f t="shared" si="20"/>
        <v>102000</v>
      </c>
    </row>
    <row r="354" spans="1:9" ht="25.5">
      <c r="A354" s="246" t="s">
        <v>17</v>
      </c>
      <c r="B354" s="201">
        <v>43</v>
      </c>
      <c r="C354" s="191" t="s">
        <v>28</v>
      </c>
      <c r="D354" s="207">
        <v>65264</v>
      </c>
      <c r="E354" s="213" t="s">
        <v>29</v>
      </c>
      <c r="F354" s="189"/>
      <c r="G354" s="234">
        <v>13140000</v>
      </c>
      <c r="H354" s="470">
        <v>9476555.9800000004</v>
      </c>
      <c r="I354" s="465">
        <f>10450000-142000</f>
        <v>10308000</v>
      </c>
    </row>
    <row r="355" spans="1:9" ht="25.5">
      <c r="A355" s="246" t="s">
        <v>17</v>
      </c>
      <c r="B355" s="201">
        <v>43</v>
      </c>
      <c r="C355" s="191" t="s">
        <v>28</v>
      </c>
      <c r="D355" s="207">
        <v>65268</v>
      </c>
      <c r="E355" s="213" t="s">
        <v>28</v>
      </c>
      <c r="F355" s="189"/>
      <c r="G355" s="234"/>
      <c r="H355" s="470">
        <v>148558.17000000001</v>
      </c>
      <c r="I355" s="465">
        <v>142000</v>
      </c>
    </row>
    <row r="356" spans="1:9" ht="25.5">
      <c r="A356" s="246" t="s">
        <v>17</v>
      </c>
      <c r="B356" s="201">
        <v>43</v>
      </c>
      <c r="C356" s="191" t="s">
        <v>28</v>
      </c>
      <c r="D356" s="207">
        <v>683110043</v>
      </c>
      <c r="E356" s="213" t="s">
        <v>30</v>
      </c>
      <c r="F356" s="189"/>
      <c r="G356" s="234"/>
      <c r="H356" s="470"/>
      <c r="I356" s="465"/>
    </row>
    <row r="357" spans="1:9" ht="25.5">
      <c r="A357" s="249" t="s">
        <v>17</v>
      </c>
      <c r="B357" s="204">
        <v>43</v>
      </c>
      <c r="C357" s="195" t="s">
        <v>28</v>
      </c>
      <c r="D357" s="211"/>
      <c r="E357" s="216" t="s">
        <v>716</v>
      </c>
      <c r="F357" s="196"/>
      <c r="G357" s="237">
        <f>SUM(G354:G356)</f>
        <v>13140000</v>
      </c>
      <c r="H357" s="237">
        <f t="shared" ref="H357:I357" si="21">SUM(H354:H356)</f>
        <v>9625114.1500000004</v>
      </c>
      <c r="I357" s="250">
        <f t="shared" si="21"/>
        <v>10450000</v>
      </c>
    </row>
    <row r="358" spans="1:9" ht="25.5">
      <c r="A358" s="246" t="s">
        <v>17</v>
      </c>
      <c r="B358" s="201">
        <v>51</v>
      </c>
      <c r="C358" s="191" t="s">
        <v>31</v>
      </c>
      <c r="D358" s="207">
        <v>632311500</v>
      </c>
      <c r="E358" s="213" t="s">
        <v>717</v>
      </c>
      <c r="F358" s="189"/>
      <c r="G358" s="234"/>
      <c r="H358" s="470"/>
      <c r="I358" s="465"/>
    </row>
    <row r="359" spans="1:9" ht="25.5">
      <c r="A359" s="246" t="s">
        <v>17</v>
      </c>
      <c r="B359" s="201">
        <v>51</v>
      </c>
      <c r="C359" s="191" t="s">
        <v>31</v>
      </c>
      <c r="D359" s="207">
        <v>632311700</v>
      </c>
      <c r="E359" s="213" t="s">
        <v>32</v>
      </c>
      <c r="F359" s="189"/>
      <c r="G359" s="234">
        <v>133300</v>
      </c>
      <c r="H359" s="470">
        <v>375046.18</v>
      </c>
      <c r="I359" s="465">
        <v>210000</v>
      </c>
    </row>
    <row r="360" spans="1:9">
      <c r="A360" s="249" t="s">
        <v>17</v>
      </c>
      <c r="B360" s="204">
        <v>51</v>
      </c>
      <c r="C360" s="195" t="s">
        <v>31</v>
      </c>
      <c r="D360" s="211"/>
      <c r="E360" s="216" t="s">
        <v>716</v>
      </c>
      <c r="F360" s="196"/>
      <c r="G360" s="237">
        <f>SUM(G358:G359)</f>
        <v>133300</v>
      </c>
      <c r="H360" s="237">
        <f t="shared" ref="H360:I360" si="22">SUM(H358:H359)</f>
        <v>375046.18</v>
      </c>
      <c r="I360" s="250">
        <f t="shared" si="22"/>
        <v>210000</v>
      </c>
    </row>
    <row r="361" spans="1:9" ht="25.5">
      <c r="A361" s="246" t="s">
        <v>17</v>
      </c>
      <c r="B361" s="201">
        <v>52</v>
      </c>
      <c r="C361" s="191" t="s">
        <v>33</v>
      </c>
      <c r="D361" s="207">
        <v>631120000</v>
      </c>
      <c r="E361" s="213" t="s">
        <v>34</v>
      </c>
      <c r="F361" s="189"/>
      <c r="G361" s="234"/>
      <c r="H361" s="470"/>
      <c r="I361" s="465"/>
    </row>
    <row r="362" spans="1:9" ht="25.5">
      <c r="A362" s="246" t="s">
        <v>17</v>
      </c>
      <c r="B362" s="201">
        <v>52</v>
      </c>
      <c r="C362" s="191" t="s">
        <v>33</v>
      </c>
      <c r="D362" s="207">
        <v>6341</v>
      </c>
      <c r="E362" s="213" t="s">
        <v>35</v>
      </c>
      <c r="F362" s="189"/>
      <c r="G362" s="234"/>
      <c r="H362" s="470"/>
      <c r="I362" s="465"/>
    </row>
    <row r="363" spans="1:9" ht="25.5">
      <c r="A363" s="246" t="s">
        <v>17</v>
      </c>
      <c r="B363" s="201">
        <v>52</v>
      </c>
      <c r="C363" s="191" t="s">
        <v>33</v>
      </c>
      <c r="D363" s="207">
        <v>636</v>
      </c>
      <c r="E363" s="213" t="s">
        <v>130</v>
      </c>
      <c r="F363" s="189"/>
      <c r="G363" s="234"/>
      <c r="H363" s="470"/>
      <c r="I363" s="465"/>
    </row>
    <row r="364" spans="1:9" ht="38.25">
      <c r="A364" s="246" t="s">
        <v>17</v>
      </c>
      <c r="B364" s="201">
        <v>52</v>
      </c>
      <c r="C364" s="191" t="s">
        <v>33</v>
      </c>
      <c r="D364" s="207">
        <v>6361</v>
      </c>
      <c r="E364" s="213" t="s">
        <v>36</v>
      </c>
      <c r="F364" s="189"/>
      <c r="G364" s="234"/>
      <c r="H364" s="470"/>
      <c r="I364" s="465"/>
    </row>
    <row r="365" spans="1:9" ht="25.5">
      <c r="A365" s="246" t="s">
        <v>17</v>
      </c>
      <c r="B365" s="201">
        <v>52</v>
      </c>
      <c r="C365" s="191" t="s">
        <v>33</v>
      </c>
      <c r="D365" s="207">
        <v>6381</v>
      </c>
      <c r="E365" s="213" t="s">
        <v>718</v>
      </c>
      <c r="F365" s="189"/>
      <c r="G365" s="234"/>
      <c r="H365" s="470"/>
      <c r="I365" s="465"/>
    </row>
    <row r="366" spans="1:9" ht="25.5">
      <c r="A366" s="246" t="s">
        <v>17</v>
      </c>
      <c r="B366" s="201">
        <v>52</v>
      </c>
      <c r="C366" s="191" t="s">
        <v>33</v>
      </c>
      <c r="D366" s="207">
        <v>6391</v>
      </c>
      <c r="E366" s="213" t="s">
        <v>37</v>
      </c>
      <c r="F366" s="189"/>
      <c r="G366" s="234">
        <v>38200</v>
      </c>
      <c r="H366" s="470">
        <v>62510</v>
      </c>
      <c r="I366" s="465">
        <v>62500</v>
      </c>
    </row>
    <row r="367" spans="1:9" ht="25.5">
      <c r="A367" s="246" t="s">
        <v>17</v>
      </c>
      <c r="B367" s="201">
        <v>52</v>
      </c>
      <c r="C367" s="191" t="s">
        <v>33</v>
      </c>
      <c r="D367" s="207">
        <v>6392</v>
      </c>
      <c r="E367" s="213" t="s">
        <v>719</v>
      </c>
      <c r="F367" s="189"/>
      <c r="G367" s="234"/>
      <c r="H367" s="470"/>
      <c r="I367" s="465"/>
    </row>
    <row r="368" spans="1:9" ht="38.25">
      <c r="A368" s="246" t="s">
        <v>17</v>
      </c>
      <c r="B368" s="201">
        <v>52</v>
      </c>
      <c r="C368" s="191" t="s">
        <v>33</v>
      </c>
      <c r="D368" s="207">
        <v>6393</v>
      </c>
      <c r="E368" s="213" t="s">
        <v>38</v>
      </c>
      <c r="F368" s="189"/>
      <c r="G368" s="234">
        <v>130000</v>
      </c>
      <c r="H368" s="470">
        <v>248072.86</v>
      </c>
      <c r="I368" s="465">
        <v>248000</v>
      </c>
    </row>
    <row r="369" spans="1:11">
      <c r="A369" s="249" t="s">
        <v>17</v>
      </c>
      <c r="B369" s="204">
        <v>52</v>
      </c>
      <c r="C369" s="195" t="s">
        <v>33</v>
      </c>
      <c r="D369" s="211"/>
      <c r="E369" s="216" t="s">
        <v>716</v>
      </c>
      <c r="F369" s="196"/>
      <c r="G369" s="237">
        <f>SUM(G361:G368)</f>
        <v>168200</v>
      </c>
      <c r="H369" s="237">
        <f t="shared" ref="H369:I369" si="23">SUM(H361:H368)</f>
        <v>310582.86</v>
      </c>
      <c r="I369" s="250">
        <f t="shared" si="23"/>
        <v>310500</v>
      </c>
      <c r="K369" s="148">
        <v>331000</v>
      </c>
    </row>
    <row r="370" spans="1:11">
      <c r="A370" s="246" t="s">
        <v>17</v>
      </c>
      <c r="B370" s="201">
        <v>61</v>
      </c>
      <c r="C370" s="191" t="s">
        <v>41</v>
      </c>
      <c r="D370" s="207">
        <v>663110000</v>
      </c>
      <c r="E370" s="213" t="s">
        <v>42</v>
      </c>
      <c r="F370" s="189"/>
      <c r="G370" s="234"/>
      <c r="H370" s="470"/>
      <c r="I370" s="465"/>
      <c r="K370" s="446">
        <f>+K369-I369</f>
        <v>20500</v>
      </c>
    </row>
    <row r="371" spans="1:11" ht="25.5">
      <c r="A371" s="246" t="s">
        <v>17</v>
      </c>
      <c r="B371" s="201">
        <v>61</v>
      </c>
      <c r="C371" s="191" t="s">
        <v>41</v>
      </c>
      <c r="D371" s="207">
        <v>663120000</v>
      </c>
      <c r="E371" s="213" t="s">
        <v>43</v>
      </c>
      <c r="F371" s="189"/>
      <c r="G371" s="234">
        <v>127400</v>
      </c>
      <c r="H371" s="470"/>
      <c r="I371" s="465"/>
    </row>
    <row r="372" spans="1:11" ht="25.5">
      <c r="A372" s="246" t="s">
        <v>17</v>
      </c>
      <c r="B372" s="201">
        <v>61</v>
      </c>
      <c r="C372" s="191" t="s">
        <v>41</v>
      </c>
      <c r="D372" s="207">
        <v>663130000</v>
      </c>
      <c r="E372" s="213" t="s">
        <v>44</v>
      </c>
      <c r="F372" s="189"/>
      <c r="G372" s="234"/>
      <c r="H372" s="470"/>
      <c r="I372" s="465"/>
    </row>
    <row r="373" spans="1:11" ht="25.5">
      <c r="A373" s="246" t="s">
        <v>17</v>
      </c>
      <c r="B373" s="201">
        <v>61</v>
      </c>
      <c r="C373" s="191" t="s">
        <v>41</v>
      </c>
      <c r="D373" s="207">
        <v>663140000</v>
      </c>
      <c r="E373" s="213" t="s">
        <v>45</v>
      </c>
      <c r="F373" s="189"/>
      <c r="G373" s="234">
        <v>54000</v>
      </c>
      <c r="H373" s="470">
        <v>37032.730000000003</v>
      </c>
      <c r="I373" s="465"/>
    </row>
    <row r="374" spans="1:11" ht="25.5">
      <c r="A374" s="246" t="s">
        <v>17</v>
      </c>
      <c r="B374" s="201">
        <v>61</v>
      </c>
      <c r="C374" s="191" t="s">
        <v>41</v>
      </c>
      <c r="D374" s="207">
        <v>663210000</v>
      </c>
      <c r="E374" s="213" t="s">
        <v>46</v>
      </c>
      <c r="F374" s="189"/>
      <c r="G374" s="234"/>
      <c r="H374" s="470"/>
      <c r="I374" s="465"/>
    </row>
    <row r="375" spans="1:11" ht="25.5">
      <c r="A375" s="246" t="s">
        <v>17</v>
      </c>
      <c r="B375" s="201">
        <v>61</v>
      </c>
      <c r="C375" s="191" t="s">
        <v>41</v>
      </c>
      <c r="D375" s="207">
        <v>663230000</v>
      </c>
      <c r="E375" s="213" t="s">
        <v>47</v>
      </c>
      <c r="F375" s="189"/>
      <c r="G375" s="234"/>
      <c r="H375" s="470"/>
      <c r="I375" s="465"/>
    </row>
    <row r="376" spans="1:11" ht="25.5">
      <c r="A376" s="246" t="s">
        <v>17</v>
      </c>
      <c r="B376" s="201">
        <v>61</v>
      </c>
      <c r="C376" s="191" t="s">
        <v>41</v>
      </c>
      <c r="D376" s="207">
        <v>663240000</v>
      </c>
      <c r="E376" s="213" t="s">
        <v>720</v>
      </c>
      <c r="F376" s="189"/>
      <c r="G376" s="234"/>
      <c r="H376" s="470"/>
      <c r="I376" s="465"/>
    </row>
    <row r="377" spans="1:11">
      <c r="A377" s="249" t="s">
        <v>17</v>
      </c>
      <c r="B377" s="204">
        <v>61</v>
      </c>
      <c r="C377" s="195" t="s">
        <v>41</v>
      </c>
      <c r="D377" s="211"/>
      <c r="E377" s="216" t="s">
        <v>716</v>
      </c>
      <c r="F377" s="196"/>
      <c r="G377" s="237">
        <f>SUM(G370:G376)</f>
        <v>181400</v>
      </c>
      <c r="H377" s="237">
        <f t="shared" ref="H377:I377" si="24">SUM(H370:H376)</f>
        <v>37032.730000000003</v>
      </c>
      <c r="I377" s="250">
        <f t="shared" si="24"/>
        <v>0</v>
      </c>
    </row>
    <row r="378" spans="1:11" ht="38.25">
      <c r="A378" s="246" t="s">
        <v>17</v>
      </c>
      <c r="B378" s="201">
        <v>71</v>
      </c>
      <c r="C378" s="191" t="s">
        <v>48</v>
      </c>
      <c r="D378" s="207">
        <v>721110071</v>
      </c>
      <c r="E378" s="213" t="s">
        <v>49</v>
      </c>
      <c r="F378" s="189"/>
      <c r="G378" s="234"/>
      <c r="H378" s="470"/>
      <c r="I378" s="465"/>
    </row>
    <row r="379" spans="1:11" ht="38.25">
      <c r="A379" s="246" t="s">
        <v>17</v>
      </c>
      <c r="B379" s="201">
        <v>71</v>
      </c>
      <c r="C379" s="191" t="s">
        <v>48</v>
      </c>
      <c r="D379" s="207">
        <v>721190071</v>
      </c>
      <c r="E379" s="213" t="s">
        <v>721</v>
      </c>
      <c r="F379" s="189"/>
      <c r="G379" s="234">
        <v>3000</v>
      </c>
      <c r="H379" s="470">
        <v>3218.71</v>
      </c>
      <c r="I379" s="465">
        <v>3000</v>
      </c>
    </row>
    <row r="380" spans="1:11" ht="38.25">
      <c r="A380" s="249" t="s">
        <v>17</v>
      </c>
      <c r="B380" s="204">
        <v>71</v>
      </c>
      <c r="C380" s="195" t="s">
        <v>48</v>
      </c>
      <c r="D380" s="211"/>
      <c r="E380" s="216" t="s">
        <v>716</v>
      </c>
      <c r="F380" s="196"/>
      <c r="G380" s="237">
        <f>SUM(G378:G379)</f>
        <v>3000</v>
      </c>
      <c r="H380" s="237">
        <f t="shared" ref="H380:I380" si="25">SUM(H378:H379)</f>
        <v>3218.71</v>
      </c>
      <c r="I380" s="250">
        <f t="shared" si="25"/>
        <v>3000</v>
      </c>
    </row>
    <row r="381" spans="1:11" ht="25.5">
      <c r="A381" s="246" t="s">
        <v>17</v>
      </c>
      <c r="B381" s="201">
        <v>561</v>
      </c>
      <c r="C381" s="191" t="s">
        <v>39</v>
      </c>
      <c r="D381" s="207">
        <v>632310561</v>
      </c>
      <c r="E381" s="213"/>
      <c r="F381" s="189"/>
      <c r="G381" s="234"/>
      <c r="H381" s="470"/>
      <c r="I381" s="465"/>
    </row>
    <row r="382" spans="1:11" ht="25.5">
      <c r="A382" s="246" t="s">
        <v>17</v>
      </c>
      <c r="B382" s="201">
        <v>561</v>
      </c>
      <c r="C382" s="191" t="s">
        <v>39</v>
      </c>
      <c r="D382" s="207">
        <v>632410561</v>
      </c>
      <c r="E382" s="213"/>
      <c r="F382" s="189"/>
      <c r="G382" s="234"/>
      <c r="H382" s="470"/>
      <c r="I382" s="465"/>
    </row>
    <row r="383" spans="1:11" ht="25.5">
      <c r="A383" s="249" t="s">
        <v>17</v>
      </c>
      <c r="B383" s="204">
        <v>561</v>
      </c>
      <c r="C383" s="195" t="s">
        <v>39</v>
      </c>
      <c r="D383" s="211"/>
      <c r="E383" s="216" t="s">
        <v>716</v>
      </c>
      <c r="F383" s="196"/>
      <c r="G383" s="237">
        <f>SUM(G381:G382)</f>
        <v>0</v>
      </c>
      <c r="H383" s="237">
        <f t="shared" ref="H383:I383" si="26">SUM(H381:H382)</f>
        <v>0</v>
      </c>
      <c r="I383" s="250">
        <f t="shared" si="26"/>
        <v>0</v>
      </c>
    </row>
    <row r="384" spans="1:11" ht="25.5">
      <c r="A384" s="246" t="s">
        <v>17</v>
      </c>
      <c r="B384" s="201">
        <v>563</v>
      </c>
      <c r="C384" s="191" t="s">
        <v>40</v>
      </c>
      <c r="D384" s="207">
        <v>632310563</v>
      </c>
      <c r="E384" s="213"/>
      <c r="F384" s="189"/>
      <c r="G384" s="234"/>
      <c r="H384" s="470"/>
      <c r="I384" s="465"/>
    </row>
    <row r="385" spans="1:11" ht="25.5">
      <c r="A385" s="246" t="s">
        <v>17</v>
      </c>
      <c r="B385" s="201">
        <v>563</v>
      </c>
      <c r="C385" s="191" t="s">
        <v>40</v>
      </c>
      <c r="D385" s="207">
        <v>632410563</v>
      </c>
      <c r="E385" s="213"/>
      <c r="F385" s="189"/>
      <c r="G385" s="234"/>
      <c r="H385" s="470"/>
      <c r="I385" s="465"/>
    </row>
    <row r="386" spans="1:11" ht="25.5">
      <c r="A386" s="249" t="s">
        <v>17</v>
      </c>
      <c r="B386" s="204">
        <v>563</v>
      </c>
      <c r="C386" s="195" t="s">
        <v>40</v>
      </c>
      <c r="D386" s="211"/>
      <c r="E386" s="216" t="s">
        <v>716</v>
      </c>
      <c r="F386" s="196"/>
      <c r="G386" s="237">
        <f>SUM(G384:G385)</f>
        <v>0</v>
      </c>
      <c r="H386" s="237">
        <f t="shared" ref="H386:I386" si="27">SUM(H384:H385)</f>
        <v>0</v>
      </c>
      <c r="I386" s="250">
        <f t="shared" si="27"/>
        <v>0</v>
      </c>
    </row>
    <row r="387" spans="1:11" s="497" customFormat="1">
      <c r="A387" s="514" t="s">
        <v>774</v>
      </c>
      <c r="B387" s="507"/>
      <c r="C387" s="508"/>
      <c r="D387" s="509"/>
      <c r="E387" s="510"/>
      <c r="F387" s="511"/>
      <c r="G387" s="512"/>
      <c r="H387" s="512"/>
      <c r="I387" s="513"/>
      <c r="J387" s="497" t="s">
        <v>774</v>
      </c>
    </row>
    <row r="388" spans="1:11" s="497" customFormat="1">
      <c r="A388" s="498" t="s">
        <v>17</v>
      </c>
      <c r="B388" s="499">
        <v>31</v>
      </c>
      <c r="C388" s="500" t="s">
        <v>23</v>
      </c>
      <c r="D388" s="501">
        <v>6415100</v>
      </c>
      <c r="E388" s="502" t="s">
        <v>777</v>
      </c>
      <c r="F388" s="503"/>
      <c r="G388" s="504"/>
      <c r="H388" s="505">
        <v>5.67</v>
      </c>
      <c r="I388" s="506"/>
    </row>
    <row r="389" spans="1:11" s="497" customFormat="1" ht="38.25">
      <c r="A389" s="498" t="s">
        <v>17</v>
      </c>
      <c r="B389" s="499">
        <v>52</v>
      </c>
      <c r="C389" s="500" t="s">
        <v>776</v>
      </c>
      <c r="D389" s="501">
        <v>6394</v>
      </c>
      <c r="E389" s="502" t="s">
        <v>775</v>
      </c>
      <c r="F389" s="503"/>
      <c r="G389" s="504"/>
      <c r="H389" s="505">
        <v>20444.61</v>
      </c>
      <c r="I389" s="506"/>
      <c r="J389" s="497" t="s">
        <v>774</v>
      </c>
    </row>
    <row r="390" spans="1:11" s="497" customFormat="1" ht="25.5">
      <c r="A390" s="498" t="s">
        <v>17</v>
      </c>
      <c r="B390" s="499">
        <v>52</v>
      </c>
      <c r="C390" s="500" t="s">
        <v>33</v>
      </c>
      <c r="D390" s="501">
        <v>6394</v>
      </c>
      <c r="E390" s="502" t="s">
        <v>719</v>
      </c>
      <c r="F390" s="503"/>
      <c r="G390" s="504"/>
      <c r="H390" s="505"/>
      <c r="I390" s="506">
        <v>20500</v>
      </c>
      <c r="J390" s="497" t="s">
        <v>774</v>
      </c>
    </row>
    <row r="391" spans="1:11" ht="30.75" customHeight="1" thickBot="1">
      <c r="A391" s="285" t="s">
        <v>17</v>
      </c>
      <c r="B391" s="269"/>
      <c r="C391" s="286" t="s">
        <v>17</v>
      </c>
      <c r="D391" s="287"/>
      <c r="E391" s="288" t="s">
        <v>711</v>
      </c>
      <c r="F391" s="289"/>
      <c r="G391" s="290">
        <f>G347+G348+G353+G357+G360+G369+G377+G380+G383+G386+G389+G388+G390</f>
        <v>31202148</v>
      </c>
      <c r="H391" s="290">
        <f t="shared" ref="H391:I391" si="28">H347+H348+H353+H357+H360+H369+H377+H380+H383+H386+H389+H388+H390</f>
        <v>25657217.470000003</v>
      </c>
      <c r="I391" s="290">
        <f t="shared" si="28"/>
        <v>29705800</v>
      </c>
      <c r="K391" s="446">
        <v>25657217.469999999</v>
      </c>
    </row>
    <row r="392" spans="1:11">
      <c r="A392" s="245"/>
      <c r="B392" s="224"/>
      <c r="C392" s="225"/>
      <c r="D392" s="226"/>
      <c r="E392" s="227"/>
      <c r="F392" s="218"/>
      <c r="G392" s="233"/>
      <c r="H392" s="469"/>
      <c r="I392" s="464"/>
      <c r="K392" s="446">
        <f>+K391-H391</f>
        <v>0</v>
      </c>
    </row>
    <row r="393" spans="1:11">
      <c r="A393" s="246" t="s">
        <v>17</v>
      </c>
      <c r="B393" s="201"/>
      <c r="C393" s="191"/>
      <c r="D393" s="207"/>
      <c r="E393" s="213" t="s">
        <v>723</v>
      </c>
      <c r="F393" s="189"/>
      <c r="G393" s="234">
        <f>G391</f>
        <v>31202148</v>
      </c>
      <c r="H393" s="470"/>
      <c r="I393" s="465">
        <f>+I391</f>
        <v>29705800</v>
      </c>
    </row>
    <row r="394" spans="1:11">
      <c r="A394" s="246" t="s">
        <v>50</v>
      </c>
      <c r="B394" s="201"/>
      <c r="C394" s="191"/>
      <c r="D394" s="207"/>
      <c r="E394" s="213" t="s">
        <v>724</v>
      </c>
      <c r="F394" s="189"/>
      <c r="G394" s="234">
        <f>G345</f>
        <v>35356229</v>
      </c>
      <c r="H394" s="470"/>
      <c r="I394" s="465">
        <f>+I345</f>
        <v>30083000</v>
      </c>
      <c r="K394" s="148">
        <v>29705800</v>
      </c>
    </row>
    <row r="395" spans="1:11">
      <c r="A395" s="253" t="s">
        <v>725</v>
      </c>
      <c r="B395" s="201"/>
      <c r="C395" s="191"/>
      <c r="D395" s="207"/>
      <c r="E395" s="213" t="s">
        <v>725</v>
      </c>
      <c r="F395" s="189"/>
      <c r="G395" s="234">
        <f>G393-G394</f>
        <v>-4154081</v>
      </c>
      <c r="H395" s="470"/>
      <c r="I395" s="234">
        <f>I393-I394</f>
        <v>-377200</v>
      </c>
      <c r="K395" s="446">
        <f>+I393-K394</f>
        <v>0</v>
      </c>
    </row>
    <row r="396" spans="1:11">
      <c r="A396" s="253" t="s">
        <v>8</v>
      </c>
      <c r="B396" s="201"/>
      <c r="C396" s="191"/>
      <c r="D396" s="207"/>
      <c r="E396" s="213" t="s">
        <v>8</v>
      </c>
      <c r="F396" s="189"/>
      <c r="G396" s="234">
        <v>0</v>
      </c>
      <c r="H396" s="470"/>
      <c r="I396" s="465">
        <f>+'prihodi i primici'!F5+'prihodi i primici'!G5+'prihodi i primici'!H5+'prihodi i primici'!I5+'prihodi i primici'!M5+'prihodi i primici'!O5</f>
        <v>18441600</v>
      </c>
    </row>
    <row r="397" spans="1:11">
      <c r="A397" s="253" t="s">
        <v>10</v>
      </c>
      <c r="B397" s="201"/>
      <c r="C397" s="191"/>
      <c r="D397" s="207"/>
      <c r="E397" s="213" t="s">
        <v>10</v>
      </c>
      <c r="F397" s="189"/>
      <c r="G397" s="234">
        <v>0</v>
      </c>
      <c r="H397" s="470"/>
      <c r="I397" s="465">
        <f>+'prihodi i primici'!F7+'prihodi i primici'!G7+'prihodi i primici'!H7+'prihodi i primici'!I7+'prihodi i primici'!O7</f>
        <v>-18064400</v>
      </c>
    </row>
    <row r="398" spans="1:11" ht="13.5" thickBot="1">
      <c r="A398" s="254" t="s">
        <v>726</v>
      </c>
      <c r="B398" s="255"/>
      <c r="C398" s="256"/>
      <c r="D398" s="257"/>
      <c r="E398" s="258" t="s">
        <v>726</v>
      </c>
      <c r="F398" s="259"/>
      <c r="G398" s="260">
        <f>G395+G396-G397</f>
        <v>-4154081</v>
      </c>
      <c r="H398" s="472"/>
      <c r="I398" s="260">
        <f>I395+I396-I397</f>
        <v>36128800</v>
      </c>
    </row>
    <row r="399" spans="1:11">
      <c r="K399" s="446"/>
    </row>
  </sheetData>
  <sheetProtection formatCells="0" formatColumns="0" formatRows="0" insertColumns="0" insertRows="0" insertHyperlinks="0" deleteColumns="0" deleteRows="0" sort="0" autoFilter="0" pivotTables="0"/>
  <mergeCells count="2">
    <mergeCell ref="A4:G4"/>
    <mergeCell ref="A1:G1"/>
  </mergeCells>
  <pageMargins left="0.25" right="0.25" top="0.75" bottom="0.75" header="0.3" footer="0.3"/>
  <pageSetup paperSize="9" fitToWidth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49" zoomScale="190" zoomScaleNormal="190" workbookViewId="0">
      <selection activeCell="C6" sqref="C6"/>
    </sheetView>
  </sheetViews>
  <sheetFormatPr defaultRowHeight="11.25"/>
  <cols>
    <col min="1" max="1" width="4.85546875" style="59" customWidth="1"/>
    <col min="2" max="2" width="30.140625" style="59" customWidth="1"/>
    <col min="3" max="3" width="14.85546875" style="59" customWidth="1"/>
    <col min="4" max="4" width="13.85546875" style="59" customWidth="1"/>
    <col min="5" max="5" width="6" style="59" customWidth="1"/>
    <col min="6" max="9" width="13.85546875" style="59" customWidth="1"/>
    <col min="10" max="12" width="7.7109375" style="59" customWidth="1"/>
    <col min="13" max="13" width="8.140625" style="59" customWidth="1"/>
    <col min="14" max="14" width="11" style="59" customWidth="1"/>
    <col min="15" max="15" width="12.7109375" style="59" customWidth="1"/>
    <col min="16" max="16" width="6.140625" style="59" customWidth="1"/>
    <col min="17" max="17" width="10.5703125" style="151" customWidth="1"/>
    <col min="18" max="18" width="9.5703125" style="164" customWidth="1"/>
    <col min="19" max="19" width="9.5703125" style="151" bestFit="1" customWidth="1"/>
    <col min="20" max="16384" width="9.140625" style="59"/>
  </cols>
  <sheetData>
    <row r="1" spans="1:19" ht="21" customHeight="1">
      <c r="A1" s="521" t="s">
        <v>735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</row>
    <row r="2" spans="1:19" ht="12" thickBot="1">
      <c r="A2" s="60"/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 t="s">
        <v>105</v>
      </c>
    </row>
    <row r="3" spans="1:19" ht="15.75" customHeight="1">
      <c r="A3" s="522" t="s">
        <v>106</v>
      </c>
      <c r="B3" s="523"/>
      <c r="C3" s="526" t="s">
        <v>737</v>
      </c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8"/>
      <c r="S3" s="529" t="s">
        <v>727</v>
      </c>
    </row>
    <row r="4" spans="1:19" ht="90">
      <c r="A4" s="124" t="s">
        <v>107</v>
      </c>
      <c r="B4" s="63" t="s">
        <v>108</v>
      </c>
      <c r="C4" s="91" t="s">
        <v>736</v>
      </c>
      <c r="D4" s="64" t="s">
        <v>109</v>
      </c>
      <c r="E4" s="64" t="s">
        <v>110</v>
      </c>
      <c r="F4" s="65" t="s">
        <v>111</v>
      </c>
      <c r="G4" s="65" t="s">
        <v>112</v>
      </c>
      <c r="H4" s="65" t="s">
        <v>113</v>
      </c>
      <c r="I4" s="65" t="s">
        <v>114</v>
      </c>
      <c r="J4" s="65" t="s">
        <v>115</v>
      </c>
      <c r="K4" s="66" t="s">
        <v>116</v>
      </c>
      <c r="L4" s="66" t="s">
        <v>117</v>
      </c>
      <c r="M4" s="65" t="s">
        <v>118</v>
      </c>
      <c r="N4" s="65" t="s">
        <v>119</v>
      </c>
      <c r="O4" s="65" t="s">
        <v>120</v>
      </c>
      <c r="P4" s="67" t="s">
        <v>624</v>
      </c>
      <c r="Q4" s="154" t="s">
        <v>738</v>
      </c>
      <c r="R4" s="89" t="s">
        <v>627</v>
      </c>
      <c r="S4" s="530"/>
    </row>
    <row r="5" spans="1:19">
      <c r="A5" s="125"/>
      <c r="B5" s="68" t="s">
        <v>8</v>
      </c>
      <c r="C5" s="69">
        <f t="shared" ref="C5:C37" si="0">SUM(D5:P5)</f>
        <v>18441600</v>
      </c>
      <c r="D5" s="70"/>
      <c r="E5" s="70"/>
      <c r="F5" s="70">
        <v>296000</v>
      </c>
      <c r="G5" s="70">
        <v>17800000</v>
      </c>
      <c r="H5" s="70">
        <f>39000+241000</f>
        <v>280000</v>
      </c>
      <c r="I5" s="70">
        <v>0</v>
      </c>
      <c r="J5" s="70"/>
      <c r="K5" s="70"/>
      <c r="L5" s="70"/>
      <c r="M5" s="70">
        <v>28100</v>
      </c>
      <c r="N5" s="70"/>
      <c r="O5" s="70">
        <v>37500</v>
      </c>
      <c r="P5" s="71"/>
      <c r="Q5" s="155">
        <v>17684200</v>
      </c>
      <c r="R5" s="165">
        <f>C5/Q5*100</f>
        <v>104.28291921602334</v>
      </c>
      <c r="S5" s="152"/>
    </row>
    <row r="6" spans="1:19" s="146" customFormat="1">
      <c r="A6" s="126"/>
      <c r="B6" s="72" t="s">
        <v>121</v>
      </c>
      <c r="C6" s="69">
        <f t="shared" si="0"/>
        <v>29705800</v>
      </c>
      <c r="D6" s="73">
        <f t="shared" ref="D6:S6" si="1">+D26+D33</f>
        <v>18609800</v>
      </c>
      <c r="E6" s="73">
        <f t="shared" si="1"/>
        <v>0</v>
      </c>
      <c r="F6" s="73">
        <f t="shared" si="1"/>
        <v>102000</v>
      </c>
      <c r="G6" s="73">
        <f t="shared" si="1"/>
        <v>10450000</v>
      </c>
      <c r="H6" s="73">
        <f t="shared" si="1"/>
        <v>210000</v>
      </c>
      <c r="I6" s="73">
        <f t="shared" si="1"/>
        <v>331000</v>
      </c>
      <c r="J6" s="73">
        <f t="shared" si="1"/>
        <v>0</v>
      </c>
      <c r="K6" s="73">
        <f t="shared" si="1"/>
        <v>0</v>
      </c>
      <c r="L6" s="73">
        <f t="shared" si="1"/>
        <v>0</v>
      </c>
      <c r="M6" s="73">
        <f t="shared" si="1"/>
        <v>0</v>
      </c>
      <c r="N6" s="73">
        <f t="shared" si="1"/>
        <v>0</v>
      </c>
      <c r="O6" s="73">
        <f t="shared" si="1"/>
        <v>3000</v>
      </c>
      <c r="P6" s="74">
        <f t="shared" si="1"/>
        <v>0</v>
      </c>
      <c r="Q6" s="74">
        <f t="shared" si="1"/>
        <v>31202148</v>
      </c>
      <c r="R6" s="166">
        <f t="shared" ref="R6:R37" si="2">C6/Q6*100</f>
        <v>95.204342983053607</v>
      </c>
      <c r="S6" s="127">
        <f t="shared" si="1"/>
        <v>25657217.470000003</v>
      </c>
    </row>
    <row r="7" spans="1:19">
      <c r="A7" s="125"/>
      <c r="B7" s="68" t="s">
        <v>628</v>
      </c>
      <c r="C7" s="69">
        <f t="shared" si="0"/>
        <v>-18064400</v>
      </c>
      <c r="D7" s="75"/>
      <c r="E7" s="75"/>
      <c r="F7" s="75">
        <v>-304600</v>
      </c>
      <c r="G7" s="75">
        <v>-17495200</v>
      </c>
      <c r="H7" s="75">
        <f>-116000-100000-100</f>
        <v>-216100</v>
      </c>
      <c r="I7" s="75">
        <v>-8000</v>
      </c>
      <c r="J7" s="70"/>
      <c r="K7" s="75"/>
      <c r="L7" s="75"/>
      <c r="M7" s="75"/>
      <c r="N7" s="75"/>
      <c r="O7" s="75">
        <v>-40500</v>
      </c>
      <c r="P7" s="76"/>
      <c r="Q7" s="155">
        <v>-13530119</v>
      </c>
      <c r="R7" s="165">
        <f t="shared" si="2"/>
        <v>133.5124990401045</v>
      </c>
      <c r="S7" s="152"/>
    </row>
    <row r="8" spans="1:19" s="146" customFormat="1">
      <c r="A8" s="126"/>
      <c r="B8" s="72" t="s">
        <v>122</v>
      </c>
      <c r="C8" s="69">
        <f t="shared" si="0"/>
        <v>30083000</v>
      </c>
      <c r="D8" s="73">
        <f>+D5+D6+D7</f>
        <v>18609800</v>
      </c>
      <c r="E8" s="73">
        <f t="shared" ref="E8:P8" si="3">+E5+E6+E7</f>
        <v>0</v>
      </c>
      <c r="F8" s="73">
        <f t="shared" si="3"/>
        <v>93400</v>
      </c>
      <c r="G8" s="73">
        <f t="shared" si="3"/>
        <v>10754800</v>
      </c>
      <c r="H8" s="73">
        <f t="shared" si="3"/>
        <v>273900</v>
      </c>
      <c r="I8" s="73">
        <f t="shared" si="3"/>
        <v>323000</v>
      </c>
      <c r="J8" s="73">
        <f t="shared" si="3"/>
        <v>0</v>
      </c>
      <c r="K8" s="73">
        <f t="shared" si="3"/>
        <v>0</v>
      </c>
      <c r="L8" s="73">
        <f t="shared" si="3"/>
        <v>0</v>
      </c>
      <c r="M8" s="73">
        <f t="shared" si="3"/>
        <v>28100</v>
      </c>
      <c r="N8" s="73">
        <f t="shared" si="3"/>
        <v>0</v>
      </c>
      <c r="O8" s="73">
        <f t="shared" si="3"/>
        <v>0</v>
      </c>
      <c r="P8" s="74">
        <f t="shared" si="3"/>
        <v>0</v>
      </c>
      <c r="Q8" s="74">
        <f t="shared" ref="Q8:S8" si="4">+Q5+Q6+Q7</f>
        <v>35356229</v>
      </c>
      <c r="R8" s="166">
        <f t="shared" si="2"/>
        <v>85.085431480829016</v>
      </c>
      <c r="S8" s="127">
        <f t="shared" si="4"/>
        <v>25657217.470000003</v>
      </c>
    </row>
    <row r="9" spans="1:19" ht="12" thickBot="1">
      <c r="A9" s="128"/>
      <c r="B9" s="77" t="s">
        <v>50</v>
      </c>
      <c r="C9" s="139">
        <f t="shared" si="0"/>
        <v>30083000</v>
      </c>
      <c r="D9" s="78">
        <f>'rashodi i izdaci'!D3</f>
        <v>18609800</v>
      </c>
      <c r="E9" s="78">
        <f>'rashodi i izdaci'!E3</f>
        <v>0</v>
      </c>
      <c r="F9" s="78">
        <f>'rashodi i izdaci'!F3</f>
        <v>93400</v>
      </c>
      <c r="G9" s="78">
        <f>'rashodi i izdaci'!G3</f>
        <v>10754800</v>
      </c>
      <c r="H9" s="78">
        <f>'rashodi i izdaci'!H3</f>
        <v>273900</v>
      </c>
      <c r="I9" s="78">
        <f>'rashodi i izdaci'!I3</f>
        <v>323000</v>
      </c>
      <c r="J9" s="78">
        <f>+'[1]PLAN RASHODA I IZDATAKA'!J3</f>
        <v>0</v>
      </c>
      <c r="K9" s="78">
        <f>'rashodi i izdaci'!J3</f>
        <v>0</v>
      </c>
      <c r="L9" s="78">
        <f>'rashodi i izdaci'!K3</f>
        <v>0</v>
      </c>
      <c r="M9" s="78">
        <f>'rashodi i izdaci'!L3</f>
        <v>28100</v>
      </c>
      <c r="N9" s="78">
        <f>'rashodi i izdaci'!M3</f>
        <v>0</v>
      </c>
      <c r="O9" s="78">
        <f>'rashodi i izdaci'!N3</f>
        <v>0</v>
      </c>
      <c r="P9" s="79">
        <f>+'[1]PLAN RASHODA I IZDATAKA'!P3</f>
        <v>0</v>
      </c>
      <c r="Q9" s="79">
        <f>'rashodi i izdaci'!P3</f>
        <v>35356229</v>
      </c>
      <c r="R9" s="167">
        <f t="shared" si="2"/>
        <v>85.085431480829016</v>
      </c>
      <c r="S9" s="129"/>
    </row>
    <row r="10" spans="1:19" s="146" customFormat="1" ht="12" thickBot="1">
      <c r="A10" s="140"/>
      <c r="B10" s="141" t="s">
        <v>16</v>
      </c>
      <c r="C10" s="142">
        <f t="shared" si="0"/>
        <v>0</v>
      </c>
      <c r="D10" s="143">
        <f>+D8-D9</f>
        <v>0</v>
      </c>
      <c r="E10" s="143">
        <f t="shared" ref="E10:P10" si="5">+E8-E9</f>
        <v>0</v>
      </c>
      <c r="F10" s="143">
        <f t="shared" si="5"/>
        <v>0</v>
      </c>
      <c r="G10" s="143">
        <f t="shared" si="5"/>
        <v>0</v>
      </c>
      <c r="H10" s="143">
        <f t="shared" si="5"/>
        <v>0</v>
      </c>
      <c r="I10" s="143">
        <f t="shared" si="5"/>
        <v>0</v>
      </c>
      <c r="J10" s="143">
        <f t="shared" si="5"/>
        <v>0</v>
      </c>
      <c r="K10" s="143">
        <f t="shared" si="5"/>
        <v>0</v>
      </c>
      <c r="L10" s="143">
        <f t="shared" si="5"/>
        <v>0</v>
      </c>
      <c r="M10" s="143">
        <f t="shared" si="5"/>
        <v>0</v>
      </c>
      <c r="N10" s="143">
        <f t="shared" si="5"/>
        <v>0</v>
      </c>
      <c r="O10" s="143">
        <f t="shared" si="5"/>
        <v>0</v>
      </c>
      <c r="P10" s="144">
        <f t="shared" si="5"/>
        <v>0</v>
      </c>
      <c r="Q10" s="144">
        <f t="shared" ref="Q10:S10" si="6">+Q8-Q9</f>
        <v>0</v>
      </c>
      <c r="R10" s="168">
        <v>0</v>
      </c>
      <c r="S10" s="145">
        <f t="shared" si="6"/>
        <v>25657217.470000003</v>
      </c>
    </row>
    <row r="11" spans="1:19">
      <c r="A11" s="130" t="s">
        <v>123</v>
      </c>
      <c r="B11" s="80" t="s">
        <v>124</v>
      </c>
      <c r="C11" s="81">
        <f t="shared" si="0"/>
        <v>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156"/>
      <c r="R11" s="169" t="e">
        <f t="shared" si="2"/>
        <v>#DIV/0!</v>
      </c>
      <c r="S11" s="153"/>
    </row>
    <row r="12" spans="1:19" ht="22.5">
      <c r="A12" s="125" t="s">
        <v>125</v>
      </c>
      <c r="B12" s="68" t="s">
        <v>126</v>
      </c>
      <c r="C12" s="69">
        <f t="shared" si="0"/>
        <v>210000</v>
      </c>
      <c r="D12" s="82"/>
      <c r="E12" s="82"/>
      <c r="F12" s="82"/>
      <c r="G12" s="82"/>
      <c r="H12" s="82">
        <v>210000</v>
      </c>
      <c r="I12" s="82"/>
      <c r="J12" s="82"/>
      <c r="K12" s="82"/>
      <c r="L12" s="82"/>
      <c r="M12" s="82"/>
      <c r="N12" s="82"/>
      <c r="O12" s="82"/>
      <c r="P12" s="83"/>
      <c r="Q12" s="155">
        <v>133300</v>
      </c>
      <c r="R12" s="165">
        <f t="shared" si="2"/>
        <v>157.53938484621156</v>
      </c>
      <c r="S12" s="152">
        <v>375046.18</v>
      </c>
    </row>
    <row r="13" spans="1:19">
      <c r="A13" s="125" t="s">
        <v>127</v>
      </c>
      <c r="B13" s="68" t="s">
        <v>128</v>
      </c>
      <c r="C13" s="69">
        <f t="shared" si="0"/>
        <v>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155"/>
      <c r="R13" s="165" t="e">
        <f t="shared" si="2"/>
        <v>#DIV/0!</v>
      </c>
      <c r="S13" s="152"/>
    </row>
    <row r="14" spans="1:19" ht="22.5">
      <c r="A14" s="131" t="s">
        <v>129</v>
      </c>
      <c r="B14" s="68" t="s">
        <v>130</v>
      </c>
      <c r="C14" s="69">
        <f t="shared" si="0"/>
        <v>0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55"/>
      <c r="R14" s="165" t="e">
        <f t="shared" si="2"/>
        <v>#DIV/0!</v>
      </c>
      <c r="S14" s="152"/>
    </row>
    <row r="15" spans="1:19">
      <c r="A15" s="125" t="s">
        <v>131</v>
      </c>
      <c r="B15" s="68" t="s">
        <v>132</v>
      </c>
      <c r="C15" s="69">
        <f t="shared" si="0"/>
        <v>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155"/>
      <c r="R15" s="165" t="e">
        <f t="shared" si="2"/>
        <v>#DIV/0!</v>
      </c>
      <c r="S15" s="152"/>
    </row>
    <row r="16" spans="1:19" ht="22.5">
      <c r="A16" s="125" t="s">
        <v>133</v>
      </c>
      <c r="B16" s="68" t="s">
        <v>134</v>
      </c>
      <c r="C16" s="69">
        <f t="shared" si="0"/>
        <v>331000</v>
      </c>
      <c r="D16" s="82"/>
      <c r="E16" s="82"/>
      <c r="F16" s="82"/>
      <c r="G16" s="82"/>
      <c r="H16" s="82"/>
      <c r="I16" s="82">
        <f>62500+248000+20500</f>
        <v>331000</v>
      </c>
      <c r="J16" s="82"/>
      <c r="K16" s="82"/>
      <c r="L16" s="82"/>
      <c r="M16" s="82"/>
      <c r="N16" s="82"/>
      <c r="O16" s="82"/>
      <c r="P16" s="83"/>
      <c r="Q16" s="155">
        <f>80000+38200+50000</f>
        <v>168200</v>
      </c>
      <c r="R16" s="165">
        <f t="shared" si="2"/>
        <v>196.78953626634959</v>
      </c>
      <c r="S16" s="152">
        <v>331027.46999999997</v>
      </c>
    </row>
    <row r="17" spans="1:19">
      <c r="A17" s="125" t="s">
        <v>135</v>
      </c>
      <c r="B17" s="68" t="s">
        <v>136</v>
      </c>
      <c r="C17" s="69">
        <f t="shared" si="0"/>
        <v>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  <c r="Q17" s="155">
        <v>4000</v>
      </c>
      <c r="R17" s="165">
        <f t="shared" si="2"/>
        <v>0</v>
      </c>
      <c r="S17" s="152">
        <v>189.99</v>
      </c>
    </row>
    <row r="18" spans="1:19">
      <c r="A18" s="125" t="s">
        <v>137</v>
      </c>
      <c r="B18" s="68" t="s">
        <v>138</v>
      </c>
      <c r="C18" s="69">
        <f t="shared" si="0"/>
        <v>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  <c r="Q18" s="155"/>
      <c r="R18" s="165">
        <v>0</v>
      </c>
      <c r="S18" s="152"/>
    </row>
    <row r="19" spans="1:19">
      <c r="A19" s="131" t="s">
        <v>625</v>
      </c>
      <c r="B19" s="68" t="s">
        <v>626</v>
      </c>
      <c r="C19" s="69">
        <f t="shared" si="0"/>
        <v>0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  <c r="Q19" s="155"/>
      <c r="R19" s="165">
        <v>0</v>
      </c>
      <c r="S19" s="152"/>
    </row>
    <row r="20" spans="1:19">
      <c r="A20" s="125" t="s">
        <v>139</v>
      </c>
      <c r="B20" s="68" t="s">
        <v>140</v>
      </c>
      <c r="C20" s="69">
        <f t="shared" si="0"/>
        <v>10450000</v>
      </c>
      <c r="D20" s="82"/>
      <c r="E20" s="82"/>
      <c r="F20" s="82"/>
      <c r="G20" s="82">
        <v>10450000</v>
      </c>
      <c r="H20" s="82"/>
      <c r="I20" s="82"/>
      <c r="J20" s="82"/>
      <c r="K20" s="82"/>
      <c r="L20" s="82"/>
      <c r="M20" s="82"/>
      <c r="N20" s="82"/>
      <c r="O20" s="82"/>
      <c r="P20" s="83"/>
      <c r="Q20" s="155">
        <v>13140000</v>
      </c>
      <c r="R20" s="165">
        <f t="shared" si="2"/>
        <v>79.528158295281585</v>
      </c>
      <c r="S20" s="152">
        <v>9625114.1500000004</v>
      </c>
    </row>
    <row r="21" spans="1:19" ht="22.5">
      <c r="A21" s="125" t="s">
        <v>141</v>
      </c>
      <c r="B21" s="68" t="s">
        <v>142</v>
      </c>
      <c r="C21" s="69">
        <f t="shared" si="0"/>
        <v>102000</v>
      </c>
      <c r="D21" s="82"/>
      <c r="E21" s="82"/>
      <c r="F21" s="82">
        <v>102000</v>
      </c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155">
        <f>15000+296000</f>
        <v>311000</v>
      </c>
      <c r="R21" s="165">
        <f t="shared" si="2"/>
        <v>32.79742765273312</v>
      </c>
      <c r="S21" s="152">
        <v>97295.05</v>
      </c>
    </row>
    <row r="22" spans="1:19" ht="22.5">
      <c r="A22" s="125" t="s">
        <v>143</v>
      </c>
      <c r="B22" s="68" t="s">
        <v>144</v>
      </c>
      <c r="C22" s="69">
        <f t="shared" si="0"/>
        <v>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155">
        <f>54000+127400</f>
        <v>181400</v>
      </c>
      <c r="R22" s="165">
        <f t="shared" si="2"/>
        <v>0</v>
      </c>
      <c r="S22" s="152">
        <v>37032.730000000003</v>
      </c>
    </row>
    <row r="23" spans="1:19" ht="33.75">
      <c r="A23" s="125" t="s">
        <v>145</v>
      </c>
      <c r="B23" s="68" t="s">
        <v>21</v>
      </c>
      <c r="C23" s="69">
        <f t="shared" si="0"/>
        <v>18609800</v>
      </c>
      <c r="D23" s="82">
        <v>18609800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155">
        <v>17261248</v>
      </c>
      <c r="R23" s="165">
        <f t="shared" si="2"/>
        <v>107.81259848650573</v>
      </c>
      <c r="S23" s="152">
        <v>15188293.189999999</v>
      </c>
    </row>
    <row r="24" spans="1:19">
      <c r="A24" s="125" t="s">
        <v>146</v>
      </c>
      <c r="B24" s="68" t="s">
        <v>147</v>
      </c>
      <c r="C24" s="69">
        <f t="shared" si="0"/>
        <v>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  <c r="Q24" s="155"/>
      <c r="R24" s="165">
        <v>0</v>
      </c>
      <c r="S24" s="152"/>
    </row>
    <row r="25" spans="1:19">
      <c r="A25" s="125" t="s">
        <v>148</v>
      </c>
      <c r="B25" s="68" t="s">
        <v>149</v>
      </c>
      <c r="C25" s="69">
        <f t="shared" si="0"/>
        <v>0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3"/>
      <c r="Q25" s="155"/>
      <c r="R25" s="165" t="e">
        <f t="shared" si="2"/>
        <v>#DIV/0!</v>
      </c>
      <c r="S25" s="152"/>
    </row>
    <row r="26" spans="1:19" s="146" customFormat="1">
      <c r="A26" s="132" t="s">
        <v>150</v>
      </c>
      <c r="B26" s="84" t="s">
        <v>151</v>
      </c>
      <c r="C26" s="69">
        <f t="shared" si="0"/>
        <v>29702800</v>
      </c>
      <c r="D26" s="85">
        <f t="shared" ref="D26:S26" si="7">SUM(D11:D25)</f>
        <v>18609800</v>
      </c>
      <c r="E26" s="85">
        <f t="shared" si="7"/>
        <v>0</v>
      </c>
      <c r="F26" s="85">
        <f t="shared" si="7"/>
        <v>102000</v>
      </c>
      <c r="G26" s="85">
        <f t="shared" si="7"/>
        <v>10450000</v>
      </c>
      <c r="H26" s="85">
        <f t="shared" si="7"/>
        <v>210000</v>
      </c>
      <c r="I26" s="85">
        <f t="shared" si="7"/>
        <v>331000</v>
      </c>
      <c r="J26" s="85">
        <f t="shared" si="7"/>
        <v>0</v>
      </c>
      <c r="K26" s="85">
        <f t="shared" si="7"/>
        <v>0</v>
      </c>
      <c r="L26" s="85">
        <f t="shared" si="7"/>
        <v>0</v>
      </c>
      <c r="M26" s="85">
        <f t="shared" si="7"/>
        <v>0</v>
      </c>
      <c r="N26" s="85">
        <f t="shared" si="7"/>
        <v>0</v>
      </c>
      <c r="O26" s="85">
        <f t="shared" si="7"/>
        <v>0</v>
      </c>
      <c r="P26" s="86">
        <f t="shared" si="7"/>
        <v>0</v>
      </c>
      <c r="Q26" s="86">
        <f t="shared" si="7"/>
        <v>31199148</v>
      </c>
      <c r="R26" s="166">
        <f t="shared" si="2"/>
        <v>95.203881849594097</v>
      </c>
      <c r="S26" s="133">
        <f t="shared" si="7"/>
        <v>25653998.760000002</v>
      </c>
    </row>
    <row r="27" spans="1:19" ht="22.5">
      <c r="A27" s="125" t="s">
        <v>152</v>
      </c>
      <c r="B27" s="87" t="s">
        <v>153</v>
      </c>
      <c r="C27" s="69">
        <f t="shared" si="0"/>
        <v>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155"/>
      <c r="R27" s="165">
        <v>0</v>
      </c>
      <c r="S27" s="152"/>
    </row>
    <row r="28" spans="1:19">
      <c r="A28" s="125" t="s">
        <v>154</v>
      </c>
      <c r="B28" s="87" t="s">
        <v>155</v>
      </c>
      <c r="C28" s="69">
        <f t="shared" si="0"/>
        <v>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  <c r="Q28" s="155"/>
      <c r="R28" s="165">
        <v>0</v>
      </c>
      <c r="S28" s="152"/>
    </row>
    <row r="29" spans="1:19">
      <c r="A29" s="125" t="s">
        <v>156</v>
      </c>
      <c r="B29" s="87" t="s">
        <v>157</v>
      </c>
      <c r="C29" s="69">
        <f t="shared" si="0"/>
        <v>3000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>
        <v>3000</v>
      </c>
      <c r="P29" s="83"/>
      <c r="Q29" s="155">
        <v>3000</v>
      </c>
      <c r="R29" s="165">
        <f t="shared" si="2"/>
        <v>100</v>
      </c>
      <c r="S29" s="152">
        <v>3218.71</v>
      </c>
    </row>
    <row r="30" spans="1:19">
      <c r="A30" s="125" t="s">
        <v>158</v>
      </c>
      <c r="B30" s="87" t="s">
        <v>159</v>
      </c>
      <c r="C30" s="69">
        <f t="shared" si="0"/>
        <v>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155"/>
      <c r="R30" s="165">
        <v>0</v>
      </c>
      <c r="S30" s="152"/>
    </row>
    <row r="31" spans="1:19">
      <c r="A31" s="125" t="s">
        <v>160</v>
      </c>
      <c r="B31" s="87" t="s">
        <v>161</v>
      </c>
      <c r="C31" s="69">
        <f t="shared" si="0"/>
        <v>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  <c r="Q31" s="155"/>
      <c r="R31" s="165">
        <v>0</v>
      </c>
      <c r="S31" s="152"/>
    </row>
    <row r="32" spans="1:19" ht="22.5">
      <c r="A32" s="125" t="s">
        <v>162</v>
      </c>
      <c r="B32" s="87" t="s">
        <v>163</v>
      </c>
      <c r="C32" s="69">
        <f t="shared" si="0"/>
        <v>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155"/>
      <c r="R32" s="165">
        <v>0</v>
      </c>
      <c r="S32" s="152"/>
    </row>
    <row r="33" spans="1:19" s="146" customFormat="1">
      <c r="A33" s="132" t="s">
        <v>164</v>
      </c>
      <c r="B33" s="84" t="s">
        <v>151</v>
      </c>
      <c r="C33" s="69">
        <f t="shared" si="0"/>
        <v>3000</v>
      </c>
      <c r="D33" s="85">
        <f t="shared" ref="D33:S33" si="8">SUM(D27:D32)</f>
        <v>0</v>
      </c>
      <c r="E33" s="85">
        <f t="shared" si="8"/>
        <v>0</v>
      </c>
      <c r="F33" s="85">
        <f t="shared" si="8"/>
        <v>0</v>
      </c>
      <c r="G33" s="85">
        <f t="shared" si="8"/>
        <v>0</v>
      </c>
      <c r="H33" s="85">
        <f t="shared" si="8"/>
        <v>0</v>
      </c>
      <c r="I33" s="85">
        <f t="shared" si="8"/>
        <v>0</v>
      </c>
      <c r="J33" s="85">
        <f t="shared" si="8"/>
        <v>0</v>
      </c>
      <c r="K33" s="85">
        <f t="shared" si="8"/>
        <v>0</v>
      </c>
      <c r="L33" s="85">
        <f t="shared" si="8"/>
        <v>0</v>
      </c>
      <c r="M33" s="85">
        <f t="shared" si="8"/>
        <v>0</v>
      </c>
      <c r="N33" s="85">
        <f t="shared" si="8"/>
        <v>0</v>
      </c>
      <c r="O33" s="85">
        <f t="shared" si="8"/>
        <v>3000</v>
      </c>
      <c r="P33" s="86">
        <f t="shared" si="8"/>
        <v>0</v>
      </c>
      <c r="Q33" s="86">
        <f t="shared" si="8"/>
        <v>3000</v>
      </c>
      <c r="R33" s="166">
        <f t="shared" si="2"/>
        <v>100</v>
      </c>
      <c r="S33" s="133">
        <f t="shared" si="8"/>
        <v>3218.71</v>
      </c>
    </row>
    <row r="34" spans="1:19" ht="33.75">
      <c r="A34" s="134">
        <v>812</v>
      </c>
      <c r="B34" s="88" t="s">
        <v>165</v>
      </c>
      <c r="C34" s="69">
        <f t="shared" si="0"/>
        <v>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155"/>
      <c r="R34" s="165">
        <v>0</v>
      </c>
      <c r="S34" s="152"/>
    </row>
    <row r="35" spans="1:19" ht="33.75">
      <c r="A35" s="134">
        <v>842</v>
      </c>
      <c r="B35" s="88" t="s">
        <v>166</v>
      </c>
      <c r="C35" s="69">
        <f t="shared" si="0"/>
        <v>0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  <c r="Q35" s="155"/>
      <c r="R35" s="165">
        <v>0</v>
      </c>
      <c r="S35" s="152"/>
    </row>
    <row r="36" spans="1:19" s="146" customFormat="1">
      <c r="A36" s="132" t="s">
        <v>167</v>
      </c>
      <c r="B36" s="84" t="s">
        <v>151</v>
      </c>
      <c r="C36" s="69">
        <f t="shared" si="0"/>
        <v>0</v>
      </c>
      <c r="D36" s="85">
        <f t="shared" ref="D36:P36" si="9">SUM(D34:D35)</f>
        <v>0</v>
      </c>
      <c r="E36" s="85">
        <f t="shared" si="9"/>
        <v>0</v>
      </c>
      <c r="F36" s="85">
        <f t="shared" si="9"/>
        <v>0</v>
      </c>
      <c r="G36" s="85">
        <f t="shared" si="9"/>
        <v>0</v>
      </c>
      <c r="H36" s="85">
        <f t="shared" si="9"/>
        <v>0</v>
      </c>
      <c r="I36" s="85">
        <f t="shared" si="9"/>
        <v>0</v>
      </c>
      <c r="J36" s="85">
        <f t="shared" si="9"/>
        <v>0</v>
      </c>
      <c r="K36" s="85">
        <f t="shared" si="9"/>
        <v>0</v>
      </c>
      <c r="L36" s="85">
        <f t="shared" si="9"/>
        <v>0</v>
      </c>
      <c r="M36" s="85">
        <f t="shared" si="9"/>
        <v>0</v>
      </c>
      <c r="N36" s="85">
        <f t="shared" si="9"/>
        <v>0</v>
      </c>
      <c r="O36" s="85">
        <f t="shared" si="9"/>
        <v>0</v>
      </c>
      <c r="P36" s="86">
        <f t="shared" si="9"/>
        <v>0</v>
      </c>
      <c r="Q36" s="86">
        <f t="shared" ref="Q36:S36" si="10">SUM(Q34:Q35)</f>
        <v>0</v>
      </c>
      <c r="R36" s="166">
        <v>0</v>
      </c>
      <c r="S36" s="133">
        <f t="shared" si="10"/>
        <v>0</v>
      </c>
    </row>
    <row r="37" spans="1:19" ht="12" thickBot="1">
      <c r="A37" s="524" t="s">
        <v>168</v>
      </c>
      <c r="B37" s="525"/>
      <c r="C37" s="135">
        <f t="shared" si="0"/>
        <v>29705800</v>
      </c>
      <c r="D37" s="135">
        <f t="shared" ref="D37:P37" si="11">+D36+D33+D26</f>
        <v>18609800</v>
      </c>
      <c r="E37" s="135">
        <f t="shared" si="11"/>
        <v>0</v>
      </c>
      <c r="F37" s="135">
        <f t="shared" si="11"/>
        <v>102000</v>
      </c>
      <c r="G37" s="135">
        <f t="shared" si="11"/>
        <v>10450000</v>
      </c>
      <c r="H37" s="135">
        <f t="shared" si="11"/>
        <v>210000</v>
      </c>
      <c r="I37" s="135">
        <f t="shared" si="11"/>
        <v>331000</v>
      </c>
      <c r="J37" s="135">
        <f t="shared" si="11"/>
        <v>0</v>
      </c>
      <c r="K37" s="135">
        <f t="shared" si="11"/>
        <v>0</v>
      </c>
      <c r="L37" s="135">
        <f t="shared" si="11"/>
        <v>0</v>
      </c>
      <c r="M37" s="135">
        <f t="shared" si="11"/>
        <v>0</v>
      </c>
      <c r="N37" s="135">
        <f t="shared" si="11"/>
        <v>0</v>
      </c>
      <c r="O37" s="135">
        <f t="shared" si="11"/>
        <v>3000</v>
      </c>
      <c r="P37" s="136">
        <f t="shared" si="11"/>
        <v>0</v>
      </c>
      <c r="Q37" s="137">
        <f t="shared" ref="Q37:S37" si="12">+Q36+Q33+Q26</f>
        <v>31202148</v>
      </c>
      <c r="R37" s="170">
        <f t="shared" si="2"/>
        <v>95.204342983053607</v>
      </c>
      <c r="S37" s="138">
        <f t="shared" si="12"/>
        <v>25657217.470000003</v>
      </c>
    </row>
  </sheetData>
  <mergeCells count="5">
    <mergeCell ref="A1:P1"/>
    <mergeCell ref="A3:B3"/>
    <mergeCell ref="A37:B37"/>
    <mergeCell ref="C3:R3"/>
    <mergeCell ref="S3:S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1"/>
  <sheetViews>
    <sheetView topLeftCell="C58" zoomScale="190" zoomScaleNormal="190" workbookViewId="0">
      <selection activeCell="H9" sqref="H9"/>
    </sheetView>
  </sheetViews>
  <sheetFormatPr defaultColWidth="11.42578125" defaultRowHeight="12.75"/>
  <cols>
    <col min="1" max="1" width="14.140625" style="12" customWidth="1"/>
    <col min="2" max="2" width="38.85546875" style="13" customWidth="1"/>
    <col min="3" max="4" width="11.140625" style="13" customWidth="1"/>
    <col min="5" max="9" width="11.140625" style="14" customWidth="1"/>
    <col min="10" max="10" width="8.7109375" style="14" customWidth="1"/>
    <col min="11" max="11" width="8.7109375" style="9" customWidth="1"/>
    <col min="12" max="12" width="8.140625" style="9" customWidth="1"/>
    <col min="13" max="14" width="10.5703125" style="9" customWidth="1"/>
    <col min="15" max="15" width="8.28515625" style="9" customWidth="1"/>
    <col min="16" max="16" width="10.5703125" style="157" customWidth="1"/>
    <col min="17" max="17" width="11.42578125" style="159" customWidth="1"/>
    <col min="18" max="18" width="11.5703125" style="157" customWidth="1"/>
    <col min="19" max="16384" width="11.42578125" style="9"/>
  </cols>
  <sheetData>
    <row r="1" spans="1:18" ht="15.75">
      <c r="A1" s="531" t="s">
        <v>739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8" ht="89.25">
      <c r="A2" s="90" t="s">
        <v>629</v>
      </c>
      <c r="B2" s="90" t="s">
        <v>630</v>
      </c>
      <c r="C2" s="91" t="s">
        <v>736</v>
      </c>
      <c r="D2" s="91" t="s">
        <v>631</v>
      </c>
      <c r="E2" s="91" t="s">
        <v>110</v>
      </c>
      <c r="F2" s="90" t="s">
        <v>111</v>
      </c>
      <c r="G2" s="90" t="s">
        <v>112</v>
      </c>
      <c r="H2" s="90" t="s">
        <v>113</v>
      </c>
      <c r="I2" s="90" t="s">
        <v>114</v>
      </c>
      <c r="J2" s="90" t="s">
        <v>116</v>
      </c>
      <c r="K2" s="90" t="s">
        <v>117</v>
      </c>
      <c r="L2" s="90" t="s">
        <v>118</v>
      </c>
      <c r="M2" s="90" t="s">
        <v>119</v>
      </c>
      <c r="N2" s="90" t="s">
        <v>632</v>
      </c>
      <c r="O2" s="90" t="s">
        <v>624</v>
      </c>
      <c r="P2" s="154" t="s">
        <v>738</v>
      </c>
      <c r="Q2" s="121" t="s">
        <v>627</v>
      </c>
      <c r="R2" s="154" t="s">
        <v>690</v>
      </c>
    </row>
    <row r="3" spans="1:18">
      <c r="A3" s="92"/>
      <c r="B3" s="92" t="s">
        <v>633</v>
      </c>
      <c r="C3" s="93">
        <f>SUM(D3:O3)</f>
        <v>30083000</v>
      </c>
      <c r="D3" s="94">
        <f t="shared" ref="D3:P3" si="0">D4+D38+D58</f>
        <v>18609800</v>
      </c>
      <c r="E3" s="94">
        <f t="shared" si="0"/>
        <v>0</v>
      </c>
      <c r="F3" s="94">
        <f t="shared" si="0"/>
        <v>93400</v>
      </c>
      <c r="G3" s="94">
        <f t="shared" si="0"/>
        <v>10754800</v>
      </c>
      <c r="H3" s="94">
        <f t="shared" si="0"/>
        <v>273900</v>
      </c>
      <c r="I3" s="94">
        <f t="shared" si="0"/>
        <v>323000</v>
      </c>
      <c r="J3" s="94">
        <f t="shared" si="0"/>
        <v>0</v>
      </c>
      <c r="K3" s="94">
        <f t="shared" si="0"/>
        <v>0</v>
      </c>
      <c r="L3" s="94">
        <f t="shared" si="0"/>
        <v>28100</v>
      </c>
      <c r="M3" s="94">
        <f t="shared" si="0"/>
        <v>0</v>
      </c>
      <c r="N3" s="94">
        <f t="shared" si="0"/>
        <v>0</v>
      </c>
      <c r="O3" s="94">
        <f t="shared" si="0"/>
        <v>0</v>
      </c>
      <c r="P3" s="147">
        <f t="shared" si="0"/>
        <v>35356229</v>
      </c>
      <c r="Q3" s="160">
        <f>C3/P3*100</f>
        <v>85.085431480829016</v>
      </c>
      <c r="R3" s="94">
        <f>R4+R38+R58</f>
        <v>23653306.669999998</v>
      </c>
    </row>
    <row r="4" spans="1:18">
      <c r="A4" s="95">
        <v>3</v>
      </c>
      <c r="B4" s="96" t="s">
        <v>634</v>
      </c>
      <c r="C4" s="97">
        <f t="shared" ref="C4:C35" si="1">ROUND(SUM(D4:O4),0)</f>
        <v>29529000</v>
      </c>
      <c r="D4" s="98">
        <f t="shared" ref="D4:P4" si="2">D5+D9+D15+D19+D23+D30+D33</f>
        <v>18254300</v>
      </c>
      <c r="E4" s="98">
        <f t="shared" si="2"/>
        <v>0</v>
      </c>
      <c r="F4" s="98">
        <f t="shared" si="2"/>
        <v>93400</v>
      </c>
      <c r="G4" s="98">
        <f t="shared" si="2"/>
        <v>10567300</v>
      </c>
      <c r="H4" s="98">
        <f t="shared" si="2"/>
        <v>273900</v>
      </c>
      <c r="I4" s="98">
        <f t="shared" si="2"/>
        <v>312000</v>
      </c>
      <c r="J4" s="98">
        <f t="shared" si="2"/>
        <v>0</v>
      </c>
      <c r="K4" s="98">
        <f t="shared" si="2"/>
        <v>0</v>
      </c>
      <c r="L4" s="98">
        <f t="shared" si="2"/>
        <v>28100</v>
      </c>
      <c r="M4" s="98">
        <f t="shared" si="2"/>
        <v>0</v>
      </c>
      <c r="N4" s="98">
        <f t="shared" si="2"/>
        <v>0</v>
      </c>
      <c r="O4" s="98">
        <f t="shared" si="2"/>
        <v>0</v>
      </c>
      <c r="P4" s="122">
        <f t="shared" si="2"/>
        <v>28993229</v>
      </c>
      <c r="Q4" s="161">
        <f t="shared" ref="Q4:Q54" si="3">C4/P4*100</f>
        <v>101.84791766381041</v>
      </c>
      <c r="R4" s="122">
        <f>R5+R9+R15+R19+R23+R30+R33</f>
        <v>23505419.819999997</v>
      </c>
    </row>
    <row r="5" spans="1:18">
      <c r="A5" s="99">
        <v>31</v>
      </c>
      <c r="B5" s="100" t="s">
        <v>635</v>
      </c>
      <c r="C5" s="101">
        <f t="shared" si="1"/>
        <v>24801500</v>
      </c>
      <c r="D5" s="102">
        <f>SUM(D6:D8)</f>
        <v>17025000</v>
      </c>
      <c r="E5" s="102">
        <f t="shared" ref="E5:N5" si="4">SUM(E6:E8)</f>
        <v>0</v>
      </c>
      <c r="F5" s="102">
        <f t="shared" si="4"/>
        <v>59400</v>
      </c>
      <c r="G5" s="102">
        <f t="shared" si="4"/>
        <v>7569000</v>
      </c>
      <c r="H5" s="102">
        <f t="shared" si="4"/>
        <v>124500</v>
      </c>
      <c r="I5" s="102">
        <f t="shared" si="4"/>
        <v>14000</v>
      </c>
      <c r="J5" s="102">
        <f t="shared" si="4"/>
        <v>0</v>
      </c>
      <c r="K5" s="102">
        <f t="shared" si="4"/>
        <v>0</v>
      </c>
      <c r="L5" s="102">
        <f t="shared" si="4"/>
        <v>9600</v>
      </c>
      <c r="M5" s="102">
        <f t="shared" si="4"/>
        <v>0</v>
      </c>
      <c r="N5" s="102">
        <f t="shared" si="4"/>
        <v>0</v>
      </c>
      <c r="O5" s="102">
        <f>SUM(O6:O8)</f>
        <v>0</v>
      </c>
      <c r="P5" s="123">
        <f t="shared" ref="P5:R5" si="5">SUM(P6:P8)</f>
        <v>23015528</v>
      </c>
      <c r="Q5" s="162">
        <f t="shared" si="3"/>
        <v>107.75985673672139</v>
      </c>
      <c r="R5" s="123">
        <f t="shared" si="5"/>
        <v>20234248.259999998</v>
      </c>
    </row>
    <row r="6" spans="1:18">
      <c r="A6" s="103">
        <v>311</v>
      </c>
      <c r="B6" s="103" t="s">
        <v>636</v>
      </c>
      <c r="C6" s="104">
        <f t="shared" si="1"/>
        <v>20477000</v>
      </c>
      <c r="D6" s="105">
        <v>14261500</v>
      </c>
      <c r="E6" s="105"/>
      <c r="F6" s="105">
        <v>50400</v>
      </c>
      <c r="G6" s="105">
        <f>5848000+114000+14500+22000+33500</f>
        <v>6032000</v>
      </c>
      <c r="H6" s="105">
        <f>58000+88500-33500</f>
        <v>113000</v>
      </c>
      <c r="I6" s="105">
        <v>12000</v>
      </c>
      <c r="J6" s="105"/>
      <c r="K6" s="105"/>
      <c r="L6" s="105">
        <v>8100</v>
      </c>
      <c r="M6" s="105"/>
      <c r="N6" s="105"/>
      <c r="O6" s="105"/>
      <c r="P6" s="158">
        <v>19139812</v>
      </c>
      <c r="Q6" s="163">
        <f t="shared" si="3"/>
        <v>106.98642181020377</v>
      </c>
      <c r="R6" s="158">
        <v>16916720.25</v>
      </c>
    </row>
    <row r="7" spans="1:18">
      <c r="A7" s="106">
        <v>312</v>
      </c>
      <c r="B7" s="107" t="s">
        <v>52</v>
      </c>
      <c r="C7" s="108">
        <f t="shared" si="1"/>
        <v>956000</v>
      </c>
      <c r="D7" s="105">
        <v>413500</v>
      </c>
      <c r="E7" s="105"/>
      <c r="F7" s="105"/>
      <c r="G7" s="105">
        <f>537000+5500</f>
        <v>542500</v>
      </c>
      <c r="H7" s="105"/>
      <c r="I7" s="105"/>
      <c r="J7" s="105"/>
      <c r="K7" s="105"/>
      <c r="L7" s="105"/>
      <c r="M7" s="105"/>
      <c r="N7" s="105"/>
      <c r="O7" s="105"/>
      <c r="P7" s="158">
        <v>800500</v>
      </c>
      <c r="Q7" s="163">
        <f t="shared" si="3"/>
        <v>119.42535915053092</v>
      </c>
      <c r="R7" s="158">
        <v>542557.11</v>
      </c>
    </row>
    <row r="8" spans="1:18">
      <c r="A8" s="109">
        <v>313</v>
      </c>
      <c r="B8" s="107" t="s">
        <v>637</v>
      </c>
      <c r="C8" s="108">
        <f t="shared" si="1"/>
        <v>3368500</v>
      </c>
      <c r="D8" s="105">
        <v>2350000</v>
      </c>
      <c r="E8" s="105"/>
      <c r="F8" s="105">
        <v>9000</v>
      </c>
      <c r="G8" s="105">
        <f>964500+19500+2500+2500+5500</f>
        <v>994500</v>
      </c>
      <c r="H8" s="105">
        <f>17000-5500</f>
        <v>11500</v>
      </c>
      <c r="I8" s="105">
        <v>2000</v>
      </c>
      <c r="J8" s="105"/>
      <c r="K8" s="105"/>
      <c r="L8" s="105">
        <v>1500</v>
      </c>
      <c r="M8" s="105"/>
      <c r="N8" s="105"/>
      <c r="O8" s="105"/>
      <c r="P8" s="158">
        <v>3075216</v>
      </c>
      <c r="Q8" s="163">
        <f t="shared" si="3"/>
        <v>109.5370211393281</v>
      </c>
      <c r="R8" s="158">
        <v>2774970.9</v>
      </c>
    </row>
    <row r="9" spans="1:18">
      <c r="A9" s="110">
        <v>32</v>
      </c>
      <c r="B9" s="111" t="s">
        <v>638</v>
      </c>
      <c r="C9" s="112">
        <f t="shared" si="1"/>
        <v>4337500</v>
      </c>
      <c r="D9" s="101">
        <f t="shared" ref="D9:R9" si="6">SUM(D10:D14)</f>
        <v>1229300</v>
      </c>
      <c r="E9" s="101">
        <f t="shared" si="6"/>
        <v>0</v>
      </c>
      <c r="F9" s="101">
        <f t="shared" si="6"/>
        <v>27000</v>
      </c>
      <c r="G9" s="101">
        <f t="shared" si="6"/>
        <v>2841800</v>
      </c>
      <c r="H9" s="101">
        <f t="shared" si="6"/>
        <v>149400</v>
      </c>
      <c r="I9" s="101">
        <f t="shared" si="6"/>
        <v>72500</v>
      </c>
      <c r="J9" s="101">
        <f t="shared" si="6"/>
        <v>0</v>
      </c>
      <c r="K9" s="101">
        <f t="shared" si="6"/>
        <v>0</v>
      </c>
      <c r="L9" s="101">
        <f t="shared" si="6"/>
        <v>17500</v>
      </c>
      <c r="M9" s="101">
        <f t="shared" si="6"/>
        <v>0</v>
      </c>
      <c r="N9" s="101">
        <f t="shared" si="6"/>
        <v>0</v>
      </c>
      <c r="O9" s="101">
        <f t="shared" si="6"/>
        <v>0</v>
      </c>
      <c r="P9" s="101">
        <f t="shared" si="6"/>
        <v>5765501</v>
      </c>
      <c r="Q9" s="162">
        <f t="shared" si="3"/>
        <v>75.231970300586198</v>
      </c>
      <c r="R9" s="101">
        <f t="shared" si="6"/>
        <v>2924943.16</v>
      </c>
    </row>
    <row r="10" spans="1:18">
      <c r="A10" s="103">
        <v>321</v>
      </c>
      <c r="B10" s="103" t="s">
        <v>639</v>
      </c>
      <c r="C10" s="108">
        <f t="shared" si="1"/>
        <v>352000</v>
      </c>
      <c r="D10" s="105">
        <v>170000</v>
      </c>
      <c r="E10" s="105"/>
      <c r="F10" s="105"/>
      <c r="G10" s="105">
        <f>158500+3000+1500+1000</f>
        <v>164000</v>
      </c>
      <c r="H10" s="105">
        <f>5500+3000</f>
        <v>8500</v>
      </c>
      <c r="I10" s="105">
        <f>5000+4500</f>
        <v>9500</v>
      </c>
      <c r="J10" s="105"/>
      <c r="K10" s="105"/>
      <c r="L10" s="105"/>
      <c r="M10" s="105"/>
      <c r="N10" s="105"/>
      <c r="O10" s="105"/>
      <c r="P10" s="158">
        <v>978300</v>
      </c>
      <c r="Q10" s="163">
        <f t="shared" si="3"/>
        <v>35.98078299090259</v>
      </c>
      <c r="R10" s="158">
        <v>272763.95</v>
      </c>
    </row>
    <row r="11" spans="1:18">
      <c r="A11" s="106">
        <v>322</v>
      </c>
      <c r="B11" s="107" t="s">
        <v>640</v>
      </c>
      <c r="C11" s="108">
        <f t="shared" si="1"/>
        <v>849500</v>
      </c>
      <c r="D11" s="105">
        <v>333500</v>
      </c>
      <c r="E11" s="105"/>
      <c r="F11" s="105"/>
      <c r="G11" s="105">
        <v>514100</v>
      </c>
      <c r="H11" s="105"/>
      <c r="I11" s="105">
        <v>1900</v>
      </c>
      <c r="J11" s="105"/>
      <c r="K11" s="105"/>
      <c r="L11" s="105"/>
      <c r="M11" s="105"/>
      <c r="N11" s="105"/>
      <c r="O11" s="105"/>
      <c r="P11" s="158">
        <v>759701</v>
      </c>
      <c r="Q11" s="163">
        <f t="shared" si="3"/>
        <v>111.82030825285212</v>
      </c>
      <c r="R11" s="158">
        <v>591747.77</v>
      </c>
    </row>
    <row r="12" spans="1:18">
      <c r="A12" s="109">
        <v>323</v>
      </c>
      <c r="B12" s="107" t="s">
        <v>641</v>
      </c>
      <c r="C12" s="108">
        <f t="shared" si="1"/>
        <v>2222000</v>
      </c>
      <c r="D12" s="105">
        <v>624300</v>
      </c>
      <c r="E12" s="105"/>
      <c r="F12" s="105">
        <v>24000</v>
      </c>
      <c r="G12" s="105">
        <f>1447600+1000+1000+10500</f>
        <v>1460100</v>
      </c>
      <c r="H12" s="105">
        <f>3000+3500+42000</f>
        <v>48500</v>
      </c>
      <c r="I12" s="105">
        <v>47600</v>
      </c>
      <c r="J12" s="105"/>
      <c r="K12" s="105"/>
      <c r="L12" s="105">
        <v>17500</v>
      </c>
      <c r="M12" s="105"/>
      <c r="N12" s="105"/>
      <c r="O12" s="105"/>
      <c r="P12" s="158">
        <v>2836500</v>
      </c>
      <c r="Q12" s="163">
        <f t="shared" si="3"/>
        <v>78.335977436982191</v>
      </c>
      <c r="R12" s="158">
        <v>1541151.86</v>
      </c>
    </row>
    <row r="13" spans="1:18">
      <c r="A13" s="109">
        <v>324</v>
      </c>
      <c r="B13" s="113" t="s">
        <v>68</v>
      </c>
      <c r="C13" s="108">
        <f t="shared" si="1"/>
        <v>67000</v>
      </c>
      <c r="D13" s="105">
        <v>11500</v>
      </c>
      <c r="E13" s="105"/>
      <c r="F13" s="105"/>
      <c r="G13" s="105">
        <f>55500-5000</f>
        <v>50500</v>
      </c>
      <c r="H13" s="105"/>
      <c r="I13" s="105">
        <v>5000</v>
      </c>
      <c r="J13" s="105"/>
      <c r="K13" s="105"/>
      <c r="L13" s="105"/>
      <c r="M13" s="105"/>
      <c r="N13" s="105"/>
      <c r="O13" s="105"/>
      <c r="P13" s="158">
        <v>304000</v>
      </c>
      <c r="Q13" s="163">
        <f t="shared" si="3"/>
        <v>22.039473684210524</v>
      </c>
      <c r="R13" s="158">
        <v>46204.82</v>
      </c>
    </row>
    <row r="14" spans="1:18">
      <c r="A14" s="109">
        <v>329</v>
      </c>
      <c r="B14" s="107" t="s">
        <v>58</v>
      </c>
      <c r="C14" s="108">
        <f t="shared" si="1"/>
        <v>847000</v>
      </c>
      <c r="D14" s="105">
        <v>90000</v>
      </c>
      <c r="E14" s="105"/>
      <c r="F14" s="105">
        <v>3000</v>
      </c>
      <c r="G14" s="105">
        <f>752000+100+500-91000-8500</f>
        <v>653100</v>
      </c>
      <c r="H14" s="105">
        <f>1400+91000</f>
        <v>92400</v>
      </c>
      <c r="I14" s="105">
        <v>8500</v>
      </c>
      <c r="J14" s="105"/>
      <c r="K14" s="105"/>
      <c r="L14" s="105"/>
      <c r="M14" s="105"/>
      <c r="N14" s="105"/>
      <c r="O14" s="105"/>
      <c r="P14" s="158">
        <v>887000</v>
      </c>
      <c r="Q14" s="163">
        <f t="shared" si="3"/>
        <v>95.490417136414891</v>
      </c>
      <c r="R14" s="158">
        <v>473074.76</v>
      </c>
    </row>
    <row r="15" spans="1:18">
      <c r="A15" s="110">
        <v>34</v>
      </c>
      <c r="B15" s="111" t="s">
        <v>642</v>
      </c>
      <c r="C15" s="112">
        <f t="shared" si="1"/>
        <v>114500</v>
      </c>
      <c r="D15" s="112">
        <f t="shared" ref="D15:R15" si="7">SUM(D16:D18)</f>
        <v>0</v>
      </c>
      <c r="E15" s="112">
        <f t="shared" si="7"/>
        <v>0</v>
      </c>
      <c r="F15" s="112">
        <f t="shared" si="7"/>
        <v>7000</v>
      </c>
      <c r="G15" s="112">
        <f t="shared" si="7"/>
        <v>106500</v>
      </c>
      <c r="H15" s="112">
        <f t="shared" si="7"/>
        <v>0</v>
      </c>
      <c r="I15" s="112">
        <f t="shared" si="7"/>
        <v>0</v>
      </c>
      <c r="J15" s="112">
        <f t="shared" si="7"/>
        <v>0</v>
      </c>
      <c r="K15" s="112">
        <f t="shared" si="7"/>
        <v>0</v>
      </c>
      <c r="L15" s="112">
        <f t="shared" si="7"/>
        <v>1000</v>
      </c>
      <c r="M15" s="112">
        <f t="shared" si="7"/>
        <v>0</v>
      </c>
      <c r="N15" s="112">
        <f t="shared" si="7"/>
        <v>0</v>
      </c>
      <c r="O15" s="112">
        <f t="shared" si="7"/>
        <v>0</v>
      </c>
      <c r="P15" s="112">
        <f t="shared" si="7"/>
        <v>152200</v>
      </c>
      <c r="Q15" s="162">
        <f t="shared" si="3"/>
        <v>75.229960578186592</v>
      </c>
      <c r="R15" s="112">
        <f t="shared" si="7"/>
        <v>82665.509999999995</v>
      </c>
    </row>
    <row r="16" spans="1:18">
      <c r="A16" s="114">
        <v>341</v>
      </c>
      <c r="B16" s="107" t="s">
        <v>643</v>
      </c>
      <c r="C16" s="108">
        <f t="shared" si="1"/>
        <v>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58"/>
      <c r="Q16" s="163">
        <v>0</v>
      </c>
      <c r="R16" s="158"/>
    </row>
    <row r="17" spans="1:18">
      <c r="A17" s="114">
        <v>342</v>
      </c>
      <c r="B17" s="107" t="s">
        <v>644</v>
      </c>
      <c r="C17" s="108">
        <f t="shared" si="1"/>
        <v>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58"/>
      <c r="Q17" s="163">
        <v>0</v>
      </c>
      <c r="R17" s="158"/>
    </row>
    <row r="18" spans="1:18">
      <c r="A18" s="114">
        <v>343</v>
      </c>
      <c r="B18" s="107" t="s">
        <v>645</v>
      </c>
      <c r="C18" s="108">
        <f t="shared" si="1"/>
        <v>114500</v>
      </c>
      <c r="D18" s="105"/>
      <c r="E18" s="105"/>
      <c r="F18" s="105">
        <v>7000</v>
      </c>
      <c r="G18" s="105">
        <v>106500</v>
      </c>
      <c r="H18" s="105"/>
      <c r="I18" s="105"/>
      <c r="J18" s="105"/>
      <c r="K18" s="105"/>
      <c r="L18" s="105">
        <v>1000</v>
      </c>
      <c r="M18" s="105"/>
      <c r="N18" s="105"/>
      <c r="O18" s="105"/>
      <c r="P18" s="158">
        <v>152200</v>
      </c>
      <c r="Q18" s="163">
        <f t="shared" si="3"/>
        <v>75.229960578186592</v>
      </c>
      <c r="R18" s="158">
        <v>82665.509999999995</v>
      </c>
    </row>
    <row r="19" spans="1:18">
      <c r="A19" s="110">
        <v>35</v>
      </c>
      <c r="B19" s="111" t="s">
        <v>646</v>
      </c>
      <c r="C19" s="112">
        <f t="shared" si="1"/>
        <v>0</v>
      </c>
      <c r="D19" s="101">
        <f>SUM(D20:D22)</f>
        <v>0</v>
      </c>
      <c r="E19" s="101">
        <f t="shared" ref="E19:R19" si="8">SUM(E20:E22)</f>
        <v>0</v>
      </c>
      <c r="F19" s="101">
        <f t="shared" si="8"/>
        <v>0</v>
      </c>
      <c r="G19" s="101">
        <f t="shared" si="8"/>
        <v>0</v>
      </c>
      <c r="H19" s="101">
        <f t="shared" si="8"/>
        <v>0</v>
      </c>
      <c r="I19" s="101">
        <f t="shared" si="8"/>
        <v>0</v>
      </c>
      <c r="J19" s="101">
        <f t="shared" si="8"/>
        <v>0</v>
      </c>
      <c r="K19" s="101">
        <f t="shared" si="8"/>
        <v>0</v>
      </c>
      <c r="L19" s="101">
        <f t="shared" si="8"/>
        <v>0</v>
      </c>
      <c r="M19" s="101">
        <f t="shared" si="8"/>
        <v>0</v>
      </c>
      <c r="N19" s="101">
        <f t="shared" si="8"/>
        <v>0</v>
      </c>
      <c r="O19" s="101">
        <f t="shared" si="8"/>
        <v>0</v>
      </c>
      <c r="P19" s="101">
        <f t="shared" si="8"/>
        <v>0</v>
      </c>
      <c r="Q19" s="162">
        <v>0</v>
      </c>
      <c r="R19" s="101">
        <f t="shared" si="8"/>
        <v>0</v>
      </c>
    </row>
    <row r="20" spans="1:18">
      <c r="A20" s="103">
        <v>351</v>
      </c>
      <c r="B20" s="103" t="s">
        <v>647</v>
      </c>
      <c r="C20" s="108">
        <f t="shared" si="1"/>
        <v>0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58"/>
      <c r="Q20" s="163">
        <v>0</v>
      </c>
      <c r="R20" s="158"/>
    </row>
    <row r="21" spans="1:18">
      <c r="A21" s="106">
        <v>352</v>
      </c>
      <c r="B21" s="107" t="s">
        <v>648</v>
      </c>
      <c r="C21" s="108">
        <f t="shared" si="1"/>
        <v>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58"/>
      <c r="Q21" s="163">
        <v>0</v>
      </c>
      <c r="R21" s="158"/>
    </row>
    <row r="22" spans="1:18">
      <c r="A22" s="109">
        <v>353</v>
      </c>
      <c r="B22" s="107" t="s">
        <v>649</v>
      </c>
      <c r="C22" s="108">
        <f t="shared" si="1"/>
        <v>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58"/>
      <c r="Q22" s="163">
        <v>0</v>
      </c>
      <c r="R22" s="158"/>
    </row>
    <row r="23" spans="1:18">
      <c r="A23" s="110">
        <v>36</v>
      </c>
      <c r="B23" s="115" t="s">
        <v>650</v>
      </c>
      <c r="C23" s="112">
        <f t="shared" si="1"/>
        <v>0</v>
      </c>
      <c r="D23" s="101">
        <f t="shared" ref="D23:R23" si="9">SUM(D24:D29)</f>
        <v>0</v>
      </c>
      <c r="E23" s="101">
        <f t="shared" si="9"/>
        <v>0</v>
      </c>
      <c r="F23" s="101">
        <f t="shared" si="9"/>
        <v>0</v>
      </c>
      <c r="G23" s="101">
        <f t="shared" si="9"/>
        <v>0</v>
      </c>
      <c r="H23" s="101">
        <f t="shared" si="9"/>
        <v>0</v>
      </c>
      <c r="I23" s="101">
        <f t="shared" si="9"/>
        <v>0</v>
      </c>
      <c r="J23" s="101">
        <f t="shared" si="9"/>
        <v>0</v>
      </c>
      <c r="K23" s="101">
        <f t="shared" si="9"/>
        <v>0</v>
      </c>
      <c r="L23" s="101">
        <f t="shared" si="9"/>
        <v>0</v>
      </c>
      <c r="M23" s="101">
        <f t="shared" si="9"/>
        <v>0</v>
      </c>
      <c r="N23" s="101">
        <f t="shared" si="9"/>
        <v>0</v>
      </c>
      <c r="O23" s="101">
        <f t="shared" si="9"/>
        <v>0</v>
      </c>
      <c r="P23" s="101">
        <f t="shared" si="9"/>
        <v>0</v>
      </c>
      <c r="Q23" s="162" t="e">
        <f t="shared" si="3"/>
        <v>#DIV/0!</v>
      </c>
      <c r="R23" s="101">
        <f t="shared" si="9"/>
        <v>0</v>
      </c>
    </row>
    <row r="24" spans="1:18">
      <c r="A24" s="109">
        <v>361</v>
      </c>
      <c r="B24" s="116" t="s">
        <v>651</v>
      </c>
      <c r="C24" s="108">
        <f t="shared" si="1"/>
        <v>0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58"/>
      <c r="Q24" s="163">
        <v>0</v>
      </c>
      <c r="R24" s="158"/>
    </row>
    <row r="25" spans="1:18">
      <c r="A25" s="106">
        <v>362</v>
      </c>
      <c r="B25" s="107" t="s">
        <v>652</v>
      </c>
      <c r="C25" s="108">
        <f t="shared" si="1"/>
        <v>0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58"/>
      <c r="Q25" s="163">
        <v>0</v>
      </c>
      <c r="R25" s="158"/>
    </row>
    <row r="26" spans="1:18">
      <c r="A26" s="106">
        <v>363</v>
      </c>
      <c r="B26" s="107" t="s">
        <v>653</v>
      </c>
      <c r="C26" s="108">
        <f t="shared" si="1"/>
        <v>0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58"/>
      <c r="Q26" s="163">
        <v>0</v>
      </c>
      <c r="R26" s="158"/>
    </row>
    <row r="27" spans="1:18">
      <c r="A27" s="106">
        <v>366</v>
      </c>
      <c r="B27" s="107" t="s">
        <v>654</v>
      </c>
      <c r="C27" s="108">
        <f t="shared" si="1"/>
        <v>0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58"/>
      <c r="Q27" s="163">
        <v>0</v>
      </c>
      <c r="R27" s="158"/>
    </row>
    <row r="28" spans="1:18">
      <c r="A28" s="106">
        <v>368</v>
      </c>
      <c r="B28" s="107" t="s">
        <v>132</v>
      </c>
      <c r="C28" s="108">
        <f t="shared" si="1"/>
        <v>0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58"/>
      <c r="Q28" s="163">
        <v>0</v>
      </c>
      <c r="R28" s="158"/>
    </row>
    <row r="29" spans="1:18">
      <c r="A29" s="109">
        <v>369</v>
      </c>
      <c r="B29" s="107" t="s">
        <v>134</v>
      </c>
      <c r="C29" s="108">
        <f t="shared" si="1"/>
        <v>0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58"/>
      <c r="Q29" s="163" t="e">
        <f t="shared" si="3"/>
        <v>#DIV/0!</v>
      </c>
      <c r="R29" s="158"/>
    </row>
    <row r="30" spans="1:18">
      <c r="A30" s="110">
        <v>37</v>
      </c>
      <c r="B30" s="111" t="s">
        <v>655</v>
      </c>
      <c r="C30" s="112">
        <f t="shared" si="1"/>
        <v>14000</v>
      </c>
      <c r="D30" s="112">
        <f t="shared" ref="D30:P30" si="10">SUM(D31:D32)</f>
        <v>0</v>
      </c>
      <c r="E30" s="112">
        <f t="shared" si="10"/>
        <v>0</v>
      </c>
      <c r="F30" s="112">
        <f t="shared" si="10"/>
        <v>0</v>
      </c>
      <c r="G30" s="112">
        <f t="shared" si="10"/>
        <v>14000</v>
      </c>
      <c r="H30" s="112">
        <f t="shared" si="10"/>
        <v>0</v>
      </c>
      <c r="I30" s="112">
        <f t="shared" si="10"/>
        <v>0</v>
      </c>
      <c r="J30" s="112">
        <f t="shared" si="10"/>
        <v>0</v>
      </c>
      <c r="K30" s="112">
        <f t="shared" si="10"/>
        <v>0</v>
      </c>
      <c r="L30" s="112">
        <f t="shared" si="10"/>
        <v>0</v>
      </c>
      <c r="M30" s="112">
        <f t="shared" si="10"/>
        <v>0</v>
      </c>
      <c r="N30" s="112">
        <f t="shared" si="10"/>
        <v>0</v>
      </c>
      <c r="O30" s="112">
        <f t="shared" si="10"/>
        <v>0</v>
      </c>
      <c r="P30" s="112">
        <f t="shared" si="10"/>
        <v>25000</v>
      </c>
      <c r="Q30" s="162">
        <f t="shared" si="3"/>
        <v>56.000000000000007</v>
      </c>
      <c r="R30" s="112">
        <f>SUM(R31:R32)</f>
        <v>13508.08</v>
      </c>
    </row>
    <row r="31" spans="1:18">
      <c r="A31" s="109">
        <v>371</v>
      </c>
      <c r="B31" s="107" t="s">
        <v>656</v>
      </c>
      <c r="C31" s="108">
        <f t="shared" si="1"/>
        <v>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58"/>
      <c r="Q31" s="163">
        <v>0</v>
      </c>
      <c r="R31" s="158"/>
    </row>
    <row r="32" spans="1:18" ht="25.5">
      <c r="A32" s="109">
        <v>372</v>
      </c>
      <c r="B32" s="113" t="s">
        <v>657</v>
      </c>
      <c r="C32" s="108">
        <f t="shared" si="1"/>
        <v>14000</v>
      </c>
      <c r="D32" s="105"/>
      <c r="E32" s="105"/>
      <c r="F32" s="105"/>
      <c r="G32" s="105">
        <v>14000</v>
      </c>
      <c r="H32" s="105"/>
      <c r="I32" s="105"/>
      <c r="J32" s="105"/>
      <c r="K32" s="105"/>
      <c r="L32" s="105"/>
      <c r="M32" s="105"/>
      <c r="N32" s="105"/>
      <c r="O32" s="105"/>
      <c r="P32" s="158">
        <v>25000</v>
      </c>
      <c r="Q32" s="163">
        <f t="shared" si="3"/>
        <v>56.000000000000007</v>
      </c>
      <c r="R32" s="158">
        <v>13508.08</v>
      </c>
    </row>
    <row r="33" spans="1:18">
      <c r="A33" s="110">
        <v>38</v>
      </c>
      <c r="B33" s="111" t="s">
        <v>658</v>
      </c>
      <c r="C33" s="112">
        <f t="shared" si="1"/>
        <v>261500</v>
      </c>
      <c r="D33" s="112">
        <f t="shared" ref="D33:R33" si="11">SUM(D34:D37)</f>
        <v>0</v>
      </c>
      <c r="E33" s="112">
        <f t="shared" si="11"/>
        <v>0</v>
      </c>
      <c r="F33" s="112">
        <f t="shared" si="11"/>
        <v>0</v>
      </c>
      <c r="G33" s="112">
        <f t="shared" si="11"/>
        <v>36000</v>
      </c>
      <c r="H33" s="112">
        <f t="shared" si="11"/>
        <v>0</v>
      </c>
      <c r="I33" s="112">
        <f t="shared" si="11"/>
        <v>225500</v>
      </c>
      <c r="J33" s="112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35000</v>
      </c>
      <c r="Q33" s="162">
        <f t="shared" si="3"/>
        <v>747.14285714285711</v>
      </c>
      <c r="R33" s="112">
        <f t="shared" si="11"/>
        <v>250054.81</v>
      </c>
    </row>
    <row r="34" spans="1:18">
      <c r="A34" s="106">
        <v>381</v>
      </c>
      <c r="B34" s="107" t="s">
        <v>659</v>
      </c>
      <c r="C34" s="108">
        <f t="shared" si="1"/>
        <v>261500</v>
      </c>
      <c r="D34" s="105"/>
      <c r="E34" s="105"/>
      <c r="F34" s="105"/>
      <c r="G34" s="105">
        <v>36000</v>
      </c>
      <c r="H34" s="105"/>
      <c r="I34" s="105">
        <v>225500</v>
      </c>
      <c r="J34" s="105"/>
      <c r="K34" s="105"/>
      <c r="L34" s="105"/>
      <c r="M34" s="105"/>
      <c r="N34" s="105"/>
      <c r="O34" s="105"/>
      <c r="P34" s="158">
        <v>35000</v>
      </c>
      <c r="Q34" s="163">
        <f t="shared" si="3"/>
        <v>747.14285714285711</v>
      </c>
      <c r="R34" s="158">
        <v>250054.81</v>
      </c>
    </row>
    <row r="35" spans="1:18">
      <c r="A35" s="106">
        <v>382</v>
      </c>
      <c r="B35" s="107" t="s">
        <v>660</v>
      </c>
      <c r="C35" s="108">
        <f t="shared" si="1"/>
        <v>0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58"/>
      <c r="Q35" s="163">
        <v>0</v>
      </c>
      <c r="R35" s="158"/>
    </row>
    <row r="36" spans="1:18">
      <c r="A36" s="109">
        <v>383</v>
      </c>
      <c r="B36" s="107" t="s">
        <v>661</v>
      </c>
      <c r="C36" s="108">
        <f t="shared" ref="C36:C67" si="12">ROUND(SUM(D36:O36),0)</f>
        <v>0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58"/>
      <c r="Q36" s="163">
        <v>0</v>
      </c>
      <c r="R36" s="158"/>
    </row>
    <row r="37" spans="1:18">
      <c r="A37" s="109">
        <v>386</v>
      </c>
      <c r="B37" s="113" t="s">
        <v>662</v>
      </c>
      <c r="C37" s="108">
        <f t="shared" si="12"/>
        <v>0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58"/>
      <c r="Q37" s="163">
        <v>0</v>
      </c>
      <c r="R37" s="158"/>
    </row>
    <row r="38" spans="1:18">
      <c r="A38" s="117">
        <v>4</v>
      </c>
      <c r="B38" s="118" t="s">
        <v>663</v>
      </c>
      <c r="C38" s="119">
        <f t="shared" si="12"/>
        <v>554000</v>
      </c>
      <c r="D38" s="119">
        <f t="shared" ref="D38:P38" si="13">D42+D49+D51+D53+D39</f>
        <v>355500</v>
      </c>
      <c r="E38" s="119">
        <f t="shared" si="13"/>
        <v>0</v>
      </c>
      <c r="F38" s="119">
        <f t="shared" si="13"/>
        <v>0</v>
      </c>
      <c r="G38" s="119">
        <f t="shared" si="13"/>
        <v>187500</v>
      </c>
      <c r="H38" s="119">
        <f t="shared" si="13"/>
        <v>0</v>
      </c>
      <c r="I38" s="119">
        <f t="shared" si="13"/>
        <v>11000</v>
      </c>
      <c r="J38" s="119">
        <f t="shared" si="13"/>
        <v>0</v>
      </c>
      <c r="K38" s="119">
        <f t="shared" si="13"/>
        <v>0</v>
      </c>
      <c r="L38" s="119">
        <f t="shared" si="13"/>
        <v>0</v>
      </c>
      <c r="M38" s="119">
        <f t="shared" si="13"/>
        <v>0</v>
      </c>
      <c r="N38" s="119">
        <f t="shared" si="13"/>
        <v>0</v>
      </c>
      <c r="O38" s="119">
        <f t="shared" si="13"/>
        <v>0</v>
      </c>
      <c r="P38" s="119">
        <f t="shared" si="13"/>
        <v>6363000</v>
      </c>
      <c r="Q38" s="161">
        <f t="shared" si="3"/>
        <v>8.7065849442087071</v>
      </c>
      <c r="R38" s="119">
        <f>R42+R49+R51+R53+R39</f>
        <v>147886.85</v>
      </c>
    </row>
    <row r="39" spans="1:18" ht="25.5">
      <c r="A39" s="99">
        <v>41</v>
      </c>
      <c r="B39" s="100" t="s">
        <v>664</v>
      </c>
      <c r="C39" s="112">
        <f t="shared" si="12"/>
        <v>0</v>
      </c>
      <c r="D39" s="102">
        <f t="shared" ref="D39:N39" si="14">SUM(D40:D41)</f>
        <v>0</v>
      </c>
      <c r="E39" s="102">
        <f t="shared" si="14"/>
        <v>0</v>
      </c>
      <c r="F39" s="102">
        <f t="shared" si="14"/>
        <v>0</v>
      </c>
      <c r="G39" s="102">
        <f t="shared" si="14"/>
        <v>0</v>
      </c>
      <c r="H39" s="102">
        <f t="shared" si="14"/>
        <v>0</v>
      </c>
      <c r="I39" s="102">
        <f t="shared" si="14"/>
        <v>0</v>
      </c>
      <c r="J39" s="102">
        <f t="shared" si="14"/>
        <v>0</v>
      </c>
      <c r="K39" s="102">
        <f t="shared" si="14"/>
        <v>0</v>
      </c>
      <c r="L39" s="102">
        <f t="shared" si="14"/>
        <v>0</v>
      </c>
      <c r="M39" s="102">
        <f t="shared" si="14"/>
        <v>0</v>
      </c>
      <c r="N39" s="102">
        <f t="shared" si="14"/>
        <v>0</v>
      </c>
      <c r="O39" s="102">
        <f>SUM(O40:O41)</f>
        <v>0</v>
      </c>
      <c r="P39" s="102">
        <f t="shared" ref="P39:R39" si="15">SUM(P40:P41)</f>
        <v>0</v>
      </c>
      <c r="Q39" s="162" t="e">
        <f t="shared" si="3"/>
        <v>#DIV/0!</v>
      </c>
      <c r="R39" s="102">
        <f t="shared" si="15"/>
        <v>0</v>
      </c>
    </row>
    <row r="40" spans="1:18">
      <c r="A40" s="103">
        <v>411</v>
      </c>
      <c r="B40" s="103" t="s">
        <v>665</v>
      </c>
      <c r="C40" s="108">
        <f t="shared" si="12"/>
        <v>0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58"/>
      <c r="Q40" s="163">
        <v>0</v>
      </c>
      <c r="R40" s="158"/>
    </row>
    <row r="41" spans="1:18">
      <c r="A41" s="106">
        <v>412</v>
      </c>
      <c r="B41" s="107" t="s">
        <v>666</v>
      </c>
      <c r="C41" s="108">
        <f t="shared" si="12"/>
        <v>0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58"/>
      <c r="Q41" s="163" t="e">
        <f t="shared" si="3"/>
        <v>#DIV/0!</v>
      </c>
      <c r="R41" s="158"/>
    </row>
    <row r="42" spans="1:18">
      <c r="A42" s="110">
        <v>42</v>
      </c>
      <c r="B42" s="111" t="s">
        <v>667</v>
      </c>
      <c r="C42" s="112">
        <f t="shared" si="12"/>
        <v>548500</v>
      </c>
      <c r="D42" s="112">
        <f t="shared" ref="D42:P42" si="16">SUM(D43:D48)</f>
        <v>355500</v>
      </c>
      <c r="E42" s="112">
        <f t="shared" si="16"/>
        <v>0</v>
      </c>
      <c r="F42" s="112">
        <f t="shared" si="16"/>
        <v>0</v>
      </c>
      <c r="G42" s="112">
        <f t="shared" si="16"/>
        <v>182000</v>
      </c>
      <c r="H42" s="112">
        <f t="shared" si="16"/>
        <v>0</v>
      </c>
      <c r="I42" s="112">
        <f t="shared" si="16"/>
        <v>11000</v>
      </c>
      <c r="J42" s="112">
        <f t="shared" si="16"/>
        <v>0</v>
      </c>
      <c r="K42" s="112">
        <f t="shared" si="16"/>
        <v>0</v>
      </c>
      <c r="L42" s="112">
        <f t="shared" si="16"/>
        <v>0</v>
      </c>
      <c r="M42" s="112">
        <f t="shared" si="16"/>
        <v>0</v>
      </c>
      <c r="N42" s="112">
        <f t="shared" si="16"/>
        <v>0</v>
      </c>
      <c r="O42" s="112">
        <f t="shared" si="16"/>
        <v>0</v>
      </c>
      <c r="P42" s="112">
        <f t="shared" si="16"/>
        <v>6363000</v>
      </c>
      <c r="Q42" s="162">
        <f t="shared" si="3"/>
        <v>8.6201477290586208</v>
      </c>
      <c r="R42" s="112">
        <f>SUM(R43:R48)</f>
        <v>142386.85</v>
      </c>
    </row>
    <row r="43" spans="1:18">
      <c r="A43" s="106">
        <v>421</v>
      </c>
      <c r="B43" s="107" t="s">
        <v>668</v>
      </c>
      <c r="C43" s="108">
        <f t="shared" si="12"/>
        <v>0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58">
        <v>5800000</v>
      </c>
      <c r="Q43" s="163">
        <f t="shared" si="3"/>
        <v>0</v>
      </c>
      <c r="R43" s="158"/>
    </row>
    <row r="44" spans="1:18">
      <c r="A44" s="106">
        <v>422</v>
      </c>
      <c r="B44" s="107" t="s">
        <v>669</v>
      </c>
      <c r="C44" s="108">
        <f t="shared" si="12"/>
        <v>369000</v>
      </c>
      <c r="D44" s="105">
        <f>137000+80000</f>
        <v>217000</v>
      </c>
      <c r="E44" s="105"/>
      <c r="F44" s="105"/>
      <c r="G44" s="105">
        <f>134000+7000</f>
        <v>141000</v>
      </c>
      <c r="H44" s="105"/>
      <c r="I44" s="105">
        <f>3000+8000</f>
        <v>11000</v>
      </c>
      <c r="J44" s="105"/>
      <c r="K44" s="105"/>
      <c r="L44" s="105"/>
      <c r="M44" s="105"/>
      <c r="N44" s="105"/>
      <c r="O44" s="105"/>
      <c r="P44" s="158">
        <v>358000</v>
      </c>
      <c r="Q44" s="163">
        <f t="shared" si="3"/>
        <v>103.07262569832403</v>
      </c>
      <c r="R44" s="158">
        <v>43507.82</v>
      </c>
    </row>
    <row r="45" spans="1:18">
      <c r="A45" s="109">
        <v>423</v>
      </c>
      <c r="B45" s="107" t="s">
        <v>670</v>
      </c>
      <c r="C45" s="108">
        <f t="shared" si="12"/>
        <v>0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58"/>
      <c r="Q45" s="163" t="e">
        <f t="shared" si="3"/>
        <v>#DIV/0!</v>
      </c>
      <c r="R45" s="158"/>
    </row>
    <row r="46" spans="1:18" ht="25.5">
      <c r="A46" s="109">
        <v>424</v>
      </c>
      <c r="B46" s="113" t="s">
        <v>671</v>
      </c>
      <c r="C46" s="108">
        <f t="shared" si="12"/>
        <v>179500</v>
      </c>
      <c r="D46" s="105">
        <v>138500</v>
      </c>
      <c r="E46" s="105"/>
      <c r="F46" s="105"/>
      <c r="G46" s="105">
        <v>41000</v>
      </c>
      <c r="H46" s="105"/>
      <c r="I46" s="105"/>
      <c r="J46" s="105"/>
      <c r="K46" s="105"/>
      <c r="L46" s="105"/>
      <c r="M46" s="105"/>
      <c r="N46" s="105"/>
      <c r="O46" s="105"/>
      <c r="P46" s="158">
        <v>200000</v>
      </c>
      <c r="Q46" s="163">
        <f t="shared" si="3"/>
        <v>89.75</v>
      </c>
      <c r="R46" s="158">
        <v>98879.03</v>
      </c>
    </row>
    <row r="47" spans="1:18">
      <c r="A47" s="109">
        <v>425</v>
      </c>
      <c r="B47" s="113" t="s">
        <v>672</v>
      </c>
      <c r="C47" s="108">
        <f t="shared" si="12"/>
        <v>0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58"/>
      <c r="Q47" s="163">
        <v>0</v>
      </c>
      <c r="R47" s="158"/>
    </row>
    <row r="48" spans="1:18">
      <c r="A48" s="109">
        <v>426</v>
      </c>
      <c r="B48" s="107" t="s">
        <v>673</v>
      </c>
      <c r="C48" s="108">
        <f t="shared" si="12"/>
        <v>0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58">
        <v>5000</v>
      </c>
      <c r="Q48" s="163">
        <f t="shared" si="3"/>
        <v>0</v>
      </c>
      <c r="R48" s="158"/>
    </row>
    <row r="49" spans="1:18">
      <c r="A49" s="99">
        <v>43</v>
      </c>
      <c r="B49" s="100" t="s">
        <v>674</v>
      </c>
      <c r="C49" s="112">
        <f t="shared" si="12"/>
        <v>0</v>
      </c>
      <c r="D49" s="102">
        <f>SUM(D50)</f>
        <v>0</v>
      </c>
      <c r="E49" s="102">
        <f>SUM(E50)</f>
        <v>0</v>
      </c>
      <c r="F49" s="102">
        <f>SUM(F50)</f>
        <v>0</v>
      </c>
      <c r="G49" s="102">
        <f t="shared" ref="G49:R49" si="17">SUM(G50)</f>
        <v>0</v>
      </c>
      <c r="H49" s="102">
        <f t="shared" si="17"/>
        <v>0</v>
      </c>
      <c r="I49" s="102">
        <f t="shared" si="17"/>
        <v>0</v>
      </c>
      <c r="J49" s="102">
        <f t="shared" si="17"/>
        <v>0</v>
      </c>
      <c r="K49" s="102">
        <f t="shared" si="17"/>
        <v>0</v>
      </c>
      <c r="L49" s="102">
        <f t="shared" si="17"/>
        <v>0</v>
      </c>
      <c r="M49" s="102">
        <f t="shared" si="17"/>
        <v>0</v>
      </c>
      <c r="N49" s="102">
        <f t="shared" si="17"/>
        <v>0</v>
      </c>
      <c r="O49" s="102">
        <f t="shared" si="17"/>
        <v>0</v>
      </c>
      <c r="P49" s="102">
        <f t="shared" si="17"/>
        <v>0</v>
      </c>
      <c r="Q49" s="162">
        <v>0</v>
      </c>
      <c r="R49" s="102">
        <f t="shared" si="17"/>
        <v>0</v>
      </c>
    </row>
    <row r="50" spans="1:18">
      <c r="A50" s="106">
        <v>431</v>
      </c>
      <c r="B50" s="107" t="s">
        <v>675</v>
      </c>
      <c r="C50" s="108">
        <f t="shared" si="12"/>
        <v>0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58"/>
      <c r="Q50" s="163">
        <v>0</v>
      </c>
      <c r="R50" s="158"/>
    </row>
    <row r="51" spans="1:18" ht="25.5">
      <c r="A51" s="99">
        <v>44</v>
      </c>
      <c r="B51" s="100" t="s">
        <v>675</v>
      </c>
      <c r="C51" s="112">
        <f t="shared" si="12"/>
        <v>0</v>
      </c>
      <c r="D51" s="102">
        <f t="shared" ref="D51:R51" si="18">SUM(D52)</f>
        <v>0</v>
      </c>
      <c r="E51" s="102">
        <f t="shared" si="18"/>
        <v>0</v>
      </c>
      <c r="F51" s="102">
        <f t="shared" si="18"/>
        <v>0</v>
      </c>
      <c r="G51" s="102">
        <f t="shared" si="18"/>
        <v>0</v>
      </c>
      <c r="H51" s="102">
        <f t="shared" si="18"/>
        <v>0</v>
      </c>
      <c r="I51" s="102">
        <f t="shared" si="18"/>
        <v>0</v>
      </c>
      <c r="J51" s="102">
        <f t="shared" si="18"/>
        <v>0</v>
      </c>
      <c r="K51" s="102">
        <f t="shared" si="18"/>
        <v>0</v>
      </c>
      <c r="L51" s="102">
        <f t="shared" si="18"/>
        <v>0</v>
      </c>
      <c r="M51" s="102">
        <f t="shared" si="18"/>
        <v>0</v>
      </c>
      <c r="N51" s="102">
        <f t="shared" si="18"/>
        <v>0</v>
      </c>
      <c r="O51" s="102">
        <f t="shared" si="18"/>
        <v>0</v>
      </c>
      <c r="P51" s="102">
        <f t="shared" si="18"/>
        <v>0</v>
      </c>
      <c r="Q51" s="162">
        <v>0</v>
      </c>
      <c r="R51" s="102">
        <f t="shared" si="18"/>
        <v>0</v>
      </c>
    </row>
    <row r="52" spans="1:18">
      <c r="A52" s="109">
        <v>441</v>
      </c>
      <c r="B52" s="113" t="s">
        <v>676</v>
      </c>
      <c r="C52" s="108">
        <f t="shared" si="12"/>
        <v>0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58"/>
      <c r="Q52" s="163">
        <v>0</v>
      </c>
      <c r="R52" s="158"/>
    </row>
    <row r="53" spans="1:18">
      <c r="A53" s="110">
        <v>45</v>
      </c>
      <c r="B53" s="111" t="s">
        <v>677</v>
      </c>
      <c r="C53" s="112">
        <f t="shared" si="12"/>
        <v>5500</v>
      </c>
      <c r="D53" s="112">
        <f t="shared" ref="D53:R53" si="19">SUM(D54:D57)</f>
        <v>0</v>
      </c>
      <c r="E53" s="112">
        <f t="shared" si="19"/>
        <v>0</v>
      </c>
      <c r="F53" s="112">
        <f t="shared" si="19"/>
        <v>0</v>
      </c>
      <c r="G53" s="112">
        <f t="shared" si="19"/>
        <v>5500</v>
      </c>
      <c r="H53" s="112">
        <f t="shared" si="19"/>
        <v>0</v>
      </c>
      <c r="I53" s="112">
        <f t="shared" si="19"/>
        <v>0</v>
      </c>
      <c r="J53" s="112">
        <f t="shared" si="19"/>
        <v>0</v>
      </c>
      <c r="K53" s="112">
        <f t="shared" si="19"/>
        <v>0</v>
      </c>
      <c r="L53" s="112">
        <f t="shared" si="19"/>
        <v>0</v>
      </c>
      <c r="M53" s="112">
        <f t="shared" si="19"/>
        <v>0</v>
      </c>
      <c r="N53" s="112">
        <f t="shared" si="19"/>
        <v>0</v>
      </c>
      <c r="O53" s="112">
        <f t="shared" si="19"/>
        <v>0</v>
      </c>
      <c r="P53" s="112">
        <f t="shared" si="19"/>
        <v>0</v>
      </c>
      <c r="Q53" s="162" t="e">
        <f t="shared" si="3"/>
        <v>#DIV/0!</v>
      </c>
      <c r="R53" s="112">
        <f t="shared" si="19"/>
        <v>5500</v>
      </c>
    </row>
    <row r="54" spans="1:18">
      <c r="A54" s="106">
        <v>451</v>
      </c>
      <c r="B54" s="107" t="s">
        <v>92</v>
      </c>
      <c r="C54" s="108">
        <f t="shared" si="12"/>
        <v>5500</v>
      </c>
      <c r="D54" s="105"/>
      <c r="E54" s="105"/>
      <c r="F54" s="105"/>
      <c r="G54" s="105">
        <v>5500</v>
      </c>
      <c r="H54" s="105"/>
      <c r="I54" s="105"/>
      <c r="J54" s="105"/>
      <c r="K54" s="105"/>
      <c r="L54" s="105"/>
      <c r="M54" s="105"/>
      <c r="N54" s="105"/>
      <c r="O54" s="105"/>
      <c r="P54" s="158"/>
      <c r="Q54" s="163" t="e">
        <f t="shared" si="3"/>
        <v>#DIV/0!</v>
      </c>
      <c r="R54" s="158">
        <v>5500</v>
      </c>
    </row>
    <row r="55" spans="1:18">
      <c r="A55" s="106">
        <v>452</v>
      </c>
      <c r="B55" s="107" t="s">
        <v>99</v>
      </c>
      <c r="C55" s="108">
        <f t="shared" si="12"/>
        <v>0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58"/>
      <c r="Q55" s="163">
        <v>0</v>
      </c>
      <c r="R55" s="158"/>
    </row>
    <row r="56" spans="1:18">
      <c r="A56" s="109">
        <v>453</v>
      </c>
      <c r="B56" s="107" t="s">
        <v>678</v>
      </c>
      <c r="C56" s="108">
        <f t="shared" si="12"/>
        <v>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58"/>
      <c r="Q56" s="163">
        <v>0</v>
      </c>
      <c r="R56" s="158"/>
    </row>
    <row r="57" spans="1:18">
      <c r="A57" s="109">
        <v>454</v>
      </c>
      <c r="B57" s="113" t="s">
        <v>679</v>
      </c>
      <c r="C57" s="108">
        <f t="shared" si="12"/>
        <v>0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58"/>
      <c r="Q57" s="163">
        <v>0</v>
      </c>
      <c r="R57" s="158"/>
    </row>
    <row r="58" spans="1:18" ht="25.5">
      <c r="A58" s="95">
        <v>5</v>
      </c>
      <c r="B58" s="96" t="s">
        <v>13</v>
      </c>
      <c r="C58" s="119">
        <f t="shared" si="12"/>
        <v>0</v>
      </c>
      <c r="D58" s="98">
        <f t="shared" ref="D58:O58" si="20">+D59+D63</f>
        <v>0</v>
      </c>
      <c r="E58" s="98">
        <f t="shared" si="20"/>
        <v>0</v>
      </c>
      <c r="F58" s="98">
        <f t="shared" si="20"/>
        <v>0</v>
      </c>
      <c r="G58" s="98">
        <f t="shared" si="20"/>
        <v>0</v>
      </c>
      <c r="H58" s="98">
        <f t="shared" si="20"/>
        <v>0</v>
      </c>
      <c r="I58" s="98">
        <f t="shared" si="20"/>
        <v>0</v>
      </c>
      <c r="J58" s="98">
        <f t="shared" si="20"/>
        <v>0</v>
      </c>
      <c r="K58" s="98">
        <f t="shared" si="20"/>
        <v>0</v>
      </c>
      <c r="L58" s="98">
        <f t="shared" si="20"/>
        <v>0</v>
      </c>
      <c r="M58" s="98">
        <f t="shared" si="20"/>
        <v>0</v>
      </c>
      <c r="N58" s="98">
        <f t="shared" si="20"/>
        <v>0</v>
      </c>
      <c r="O58" s="98">
        <f t="shared" si="20"/>
        <v>0</v>
      </c>
      <c r="P58" s="98">
        <f t="shared" ref="P58:R58" si="21">+P59+P63</f>
        <v>0</v>
      </c>
      <c r="Q58" s="161">
        <v>0</v>
      </c>
      <c r="R58" s="98">
        <f t="shared" si="21"/>
        <v>0</v>
      </c>
    </row>
    <row r="59" spans="1:18">
      <c r="A59" s="99">
        <v>51</v>
      </c>
      <c r="B59" s="100" t="s">
        <v>680</v>
      </c>
      <c r="C59" s="101">
        <f t="shared" si="12"/>
        <v>0</v>
      </c>
      <c r="D59" s="102">
        <f>+D60</f>
        <v>0</v>
      </c>
      <c r="E59" s="102">
        <f t="shared" ref="E59:G59" si="22">+E60</f>
        <v>0</v>
      </c>
      <c r="F59" s="102">
        <f t="shared" si="22"/>
        <v>0</v>
      </c>
      <c r="G59" s="102">
        <f t="shared" si="22"/>
        <v>0</v>
      </c>
      <c r="H59" s="102">
        <f>SUM(H60:H62)</f>
        <v>0</v>
      </c>
      <c r="I59" s="102">
        <f t="shared" ref="I59:O59" si="23">SUM(I60:I62)</f>
        <v>0</v>
      </c>
      <c r="J59" s="102">
        <f t="shared" si="23"/>
        <v>0</v>
      </c>
      <c r="K59" s="102">
        <f t="shared" si="23"/>
        <v>0</v>
      </c>
      <c r="L59" s="102">
        <f t="shared" si="23"/>
        <v>0</v>
      </c>
      <c r="M59" s="102">
        <f t="shared" si="23"/>
        <v>0</v>
      </c>
      <c r="N59" s="102">
        <f t="shared" si="23"/>
        <v>0</v>
      </c>
      <c r="O59" s="102">
        <f t="shared" si="23"/>
        <v>0</v>
      </c>
      <c r="P59" s="102">
        <f t="shared" ref="P59:R59" si="24">SUM(P60:P62)</f>
        <v>0</v>
      </c>
      <c r="Q59" s="162">
        <v>0</v>
      </c>
      <c r="R59" s="102">
        <f t="shared" si="24"/>
        <v>0</v>
      </c>
    </row>
    <row r="60" spans="1:18">
      <c r="A60" s="120">
        <v>512</v>
      </c>
      <c r="B60" s="103" t="s">
        <v>681</v>
      </c>
      <c r="C60" s="101">
        <f t="shared" si="12"/>
        <v>0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58"/>
      <c r="Q60" s="163">
        <v>0</v>
      </c>
      <c r="R60" s="158"/>
    </row>
    <row r="61" spans="1:18">
      <c r="A61" s="120">
        <v>514</v>
      </c>
      <c r="B61" s="103" t="s">
        <v>682</v>
      </c>
      <c r="C61" s="101">
        <f t="shared" si="12"/>
        <v>0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58"/>
      <c r="Q61" s="163">
        <v>0</v>
      </c>
      <c r="R61" s="158"/>
    </row>
    <row r="62" spans="1:18">
      <c r="A62" s="120">
        <v>518</v>
      </c>
      <c r="B62" s="103" t="s">
        <v>683</v>
      </c>
      <c r="C62" s="101">
        <f t="shared" si="12"/>
        <v>0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58"/>
      <c r="Q62" s="163">
        <v>0</v>
      </c>
      <c r="R62" s="158"/>
    </row>
    <row r="63" spans="1:18" ht="25.5">
      <c r="A63" s="99">
        <v>54</v>
      </c>
      <c r="B63" s="100" t="s">
        <v>684</v>
      </c>
      <c r="C63" s="101">
        <f t="shared" si="12"/>
        <v>0</v>
      </c>
      <c r="D63" s="102">
        <f>SUM(D64:D68)</f>
        <v>0</v>
      </c>
      <c r="E63" s="102">
        <f t="shared" ref="E63:R63" si="25">SUM(E64:E68)</f>
        <v>0</v>
      </c>
      <c r="F63" s="102">
        <f t="shared" si="25"/>
        <v>0</v>
      </c>
      <c r="G63" s="102">
        <f t="shared" si="25"/>
        <v>0</v>
      </c>
      <c r="H63" s="102">
        <f>SUM(H64:H68)</f>
        <v>0</v>
      </c>
      <c r="I63" s="102">
        <f t="shared" si="25"/>
        <v>0</v>
      </c>
      <c r="J63" s="102">
        <f t="shared" si="25"/>
        <v>0</v>
      </c>
      <c r="K63" s="102">
        <f t="shared" si="25"/>
        <v>0</v>
      </c>
      <c r="L63" s="102">
        <f t="shared" si="25"/>
        <v>0</v>
      </c>
      <c r="M63" s="102">
        <f t="shared" si="25"/>
        <v>0</v>
      </c>
      <c r="N63" s="102">
        <f t="shared" si="25"/>
        <v>0</v>
      </c>
      <c r="O63" s="102">
        <f t="shared" si="25"/>
        <v>0</v>
      </c>
      <c r="P63" s="102">
        <f t="shared" si="25"/>
        <v>0</v>
      </c>
      <c r="Q63" s="162">
        <v>0</v>
      </c>
      <c r="R63" s="102">
        <f t="shared" si="25"/>
        <v>0</v>
      </c>
    </row>
    <row r="64" spans="1:18">
      <c r="A64" s="109">
        <v>542</v>
      </c>
      <c r="B64" s="107" t="s">
        <v>685</v>
      </c>
      <c r="C64" s="101">
        <f t="shared" si="12"/>
        <v>0</v>
      </c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58"/>
      <c r="Q64" s="163">
        <v>0</v>
      </c>
      <c r="R64" s="158"/>
    </row>
    <row r="65" spans="1:18">
      <c r="A65" s="109">
        <v>543</v>
      </c>
      <c r="B65" s="107" t="s">
        <v>686</v>
      </c>
      <c r="C65" s="101">
        <f t="shared" si="12"/>
        <v>0</v>
      </c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58"/>
      <c r="Q65" s="163">
        <v>0</v>
      </c>
      <c r="R65" s="158"/>
    </row>
    <row r="66" spans="1:18">
      <c r="A66" s="109">
        <v>544</v>
      </c>
      <c r="B66" s="107" t="s">
        <v>687</v>
      </c>
      <c r="C66" s="101">
        <f t="shared" si="12"/>
        <v>0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58"/>
      <c r="Q66" s="163">
        <v>0</v>
      </c>
      <c r="R66" s="158"/>
    </row>
    <row r="67" spans="1:18">
      <c r="A67" s="109">
        <v>545</v>
      </c>
      <c r="B67" s="107" t="s">
        <v>688</v>
      </c>
      <c r="C67" s="101">
        <f t="shared" si="12"/>
        <v>0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58"/>
      <c r="Q67" s="163">
        <v>0</v>
      </c>
      <c r="R67" s="158"/>
    </row>
    <row r="68" spans="1:18">
      <c r="A68" s="109">
        <v>547</v>
      </c>
      <c r="B68" s="107" t="s">
        <v>689</v>
      </c>
      <c r="C68" s="101">
        <f t="shared" ref="C68" si="26">ROUND(SUM(D68:O68),0)</f>
        <v>0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58"/>
      <c r="Q68" s="163">
        <v>0</v>
      </c>
      <c r="R68" s="158"/>
    </row>
    <row r="69" spans="1:18">
      <c r="A69" s="10"/>
      <c r="B69" s="11"/>
      <c r="C69" s="11"/>
      <c r="D69" s="11"/>
      <c r="E69" s="9"/>
      <c r="F69" s="9"/>
      <c r="G69" s="9"/>
      <c r="H69" s="9"/>
      <c r="I69" s="9"/>
      <c r="J69" s="9"/>
    </row>
    <row r="70" spans="1:18">
      <c r="A70" s="10"/>
      <c r="B70" s="11"/>
      <c r="C70" s="11"/>
      <c r="D70" s="11"/>
      <c r="E70" s="9"/>
      <c r="F70" s="9"/>
      <c r="G70" s="9"/>
      <c r="H70" s="9"/>
      <c r="I70" s="9"/>
      <c r="J70" s="9"/>
    </row>
    <row r="71" spans="1:18">
      <c r="A71" s="10"/>
      <c r="B71" s="11"/>
      <c r="C71" s="11"/>
      <c r="D71" s="11"/>
      <c r="E71" s="9"/>
      <c r="F71" s="9"/>
      <c r="G71" s="9"/>
      <c r="H71" s="9"/>
      <c r="I71" s="9"/>
      <c r="J71" s="9"/>
    </row>
    <row r="72" spans="1:18">
      <c r="A72" s="10"/>
      <c r="B72" s="11"/>
      <c r="C72" s="11"/>
      <c r="D72" s="11"/>
      <c r="E72" s="9"/>
      <c r="F72" s="9"/>
      <c r="G72" s="9"/>
      <c r="H72" s="9"/>
      <c r="I72" s="9"/>
      <c r="J72" s="9"/>
    </row>
    <row r="73" spans="1:18">
      <c r="A73" s="10"/>
      <c r="B73" s="11"/>
      <c r="C73" s="11"/>
      <c r="D73" s="11"/>
      <c r="E73" s="9"/>
      <c r="F73" s="9"/>
      <c r="G73" s="9"/>
      <c r="H73" s="9"/>
      <c r="I73" s="9"/>
      <c r="J73" s="9"/>
    </row>
    <row r="74" spans="1:18">
      <c r="A74" s="10"/>
      <c r="B74" s="11"/>
      <c r="C74" s="11"/>
      <c r="D74" s="11"/>
      <c r="E74" s="9"/>
      <c r="F74" s="9"/>
      <c r="G74" s="9"/>
      <c r="H74" s="9"/>
      <c r="I74" s="9"/>
      <c r="J74" s="9"/>
    </row>
    <row r="75" spans="1:18">
      <c r="A75" s="10"/>
      <c r="B75" s="11"/>
      <c r="C75" s="11"/>
      <c r="D75" s="11"/>
      <c r="E75" s="9"/>
      <c r="F75" s="9"/>
      <c r="G75" s="9"/>
      <c r="H75" s="9"/>
      <c r="I75" s="9"/>
      <c r="J75" s="9"/>
    </row>
    <row r="76" spans="1:18">
      <c r="A76" s="10"/>
      <c r="B76" s="11"/>
      <c r="C76" s="11"/>
      <c r="D76" s="11"/>
      <c r="E76" s="9"/>
      <c r="F76" s="9"/>
      <c r="G76" s="9"/>
      <c r="H76" s="9"/>
      <c r="I76" s="9"/>
      <c r="J76" s="9"/>
    </row>
    <row r="77" spans="1:18">
      <c r="A77" s="10"/>
      <c r="B77" s="11"/>
      <c r="C77" s="11"/>
      <c r="D77" s="11"/>
      <c r="E77" s="9"/>
      <c r="F77" s="9"/>
      <c r="G77" s="9"/>
      <c r="H77" s="9"/>
      <c r="I77" s="9"/>
      <c r="J77" s="9"/>
    </row>
    <row r="78" spans="1:18">
      <c r="A78" s="10"/>
      <c r="B78" s="11"/>
      <c r="C78" s="11"/>
      <c r="D78" s="11"/>
      <c r="E78" s="9"/>
      <c r="F78" s="9"/>
      <c r="G78" s="9"/>
      <c r="H78" s="9"/>
      <c r="I78" s="9"/>
      <c r="J78" s="9"/>
    </row>
    <row r="79" spans="1:18">
      <c r="A79" s="10"/>
      <c r="B79" s="11"/>
      <c r="C79" s="11"/>
      <c r="D79" s="11"/>
      <c r="E79" s="9"/>
      <c r="F79" s="9"/>
      <c r="G79" s="9"/>
      <c r="H79" s="9"/>
      <c r="I79" s="9"/>
      <c r="J79" s="9"/>
    </row>
    <row r="80" spans="1:18">
      <c r="A80" s="10"/>
      <c r="B80" s="11"/>
      <c r="C80" s="11"/>
      <c r="D80" s="11"/>
      <c r="E80" s="9"/>
      <c r="F80" s="9"/>
      <c r="G80" s="9"/>
      <c r="H80" s="9"/>
      <c r="I80" s="9"/>
      <c r="J80" s="9"/>
    </row>
    <row r="81" spans="1:10">
      <c r="A81" s="10"/>
      <c r="B81" s="11"/>
      <c r="C81" s="11"/>
      <c r="D81" s="11"/>
      <c r="E81" s="9"/>
      <c r="F81" s="9"/>
      <c r="G81" s="9"/>
      <c r="H81" s="9"/>
      <c r="I81" s="9"/>
      <c r="J81" s="9"/>
    </row>
    <row r="82" spans="1:10">
      <c r="A82" s="10"/>
      <c r="B82" s="11"/>
      <c r="C82" s="11"/>
      <c r="D82" s="11"/>
      <c r="E82" s="9"/>
      <c r="F82" s="9"/>
      <c r="G82" s="9"/>
      <c r="H82" s="9"/>
      <c r="I82" s="9"/>
      <c r="J82" s="9"/>
    </row>
    <row r="83" spans="1:10">
      <c r="A83" s="10"/>
      <c r="B83" s="11"/>
      <c r="C83" s="11"/>
      <c r="D83" s="11"/>
      <c r="E83" s="9"/>
      <c r="F83" s="9"/>
      <c r="G83" s="9"/>
      <c r="H83" s="9"/>
      <c r="I83" s="9"/>
      <c r="J83" s="9"/>
    </row>
    <row r="84" spans="1:10">
      <c r="A84" s="10"/>
      <c r="B84" s="11"/>
      <c r="C84" s="11"/>
      <c r="D84" s="11"/>
      <c r="E84" s="9"/>
      <c r="F84" s="9"/>
      <c r="G84" s="9"/>
      <c r="H84" s="9"/>
      <c r="I84" s="9"/>
      <c r="J84" s="9"/>
    </row>
    <row r="85" spans="1:10">
      <c r="A85" s="10"/>
      <c r="B85" s="11"/>
      <c r="C85" s="11"/>
      <c r="D85" s="11"/>
      <c r="E85" s="9"/>
      <c r="F85" s="9"/>
      <c r="G85" s="9"/>
      <c r="H85" s="9"/>
      <c r="I85" s="9"/>
      <c r="J85" s="9"/>
    </row>
    <row r="86" spans="1:10">
      <c r="A86" s="10"/>
      <c r="B86" s="11"/>
      <c r="C86" s="11"/>
      <c r="D86" s="11"/>
      <c r="E86" s="9"/>
      <c r="F86" s="9"/>
      <c r="G86" s="9"/>
      <c r="H86" s="9"/>
      <c r="I86" s="9"/>
      <c r="J86" s="9"/>
    </row>
    <row r="87" spans="1:10">
      <c r="A87" s="10"/>
      <c r="B87" s="11"/>
      <c r="C87" s="11"/>
      <c r="D87" s="11"/>
      <c r="E87" s="9"/>
      <c r="F87" s="9"/>
      <c r="G87" s="9"/>
      <c r="H87" s="9"/>
      <c r="I87" s="9"/>
      <c r="J87" s="9"/>
    </row>
    <row r="88" spans="1:10">
      <c r="A88" s="10"/>
      <c r="B88" s="11"/>
      <c r="C88" s="11"/>
      <c r="D88" s="11"/>
      <c r="E88" s="9"/>
      <c r="F88" s="9"/>
      <c r="G88" s="9"/>
      <c r="H88" s="9"/>
      <c r="I88" s="9"/>
      <c r="J88" s="9"/>
    </row>
    <row r="89" spans="1:10">
      <c r="A89" s="10"/>
      <c r="B89" s="11"/>
      <c r="C89" s="11"/>
      <c r="D89" s="11"/>
      <c r="E89" s="9"/>
      <c r="F89" s="9"/>
      <c r="G89" s="9"/>
      <c r="H89" s="9"/>
      <c r="I89" s="9"/>
      <c r="J89" s="9"/>
    </row>
    <row r="90" spans="1:10">
      <c r="A90" s="10"/>
      <c r="B90" s="11"/>
      <c r="C90" s="11"/>
      <c r="D90" s="11"/>
      <c r="E90" s="9"/>
      <c r="F90" s="9"/>
      <c r="G90" s="9"/>
      <c r="H90" s="9"/>
      <c r="I90" s="9"/>
      <c r="J90" s="9"/>
    </row>
    <row r="91" spans="1:10">
      <c r="A91" s="10"/>
      <c r="B91" s="11"/>
      <c r="C91" s="11"/>
      <c r="D91" s="11"/>
      <c r="E91" s="9"/>
      <c r="F91" s="9"/>
      <c r="G91" s="9"/>
      <c r="H91" s="9"/>
      <c r="I91" s="9"/>
      <c r="J91" s="9"/>
    </row>
    <row r="92" spans="1:10">
      <c r="A92" s="10"/>
      <c r="B92" s="11"/>
      <c r="C92" s="11"/>
      <c r="D92" s="11"/>
      <c r="E92" s="9"/>
      <c r="F92" s="9"/>
      <c r="G92" s="9"/>
      <c r="H92" s="9"/>
      <c r="I92" s="9"/>
      <c r="J92" s="9"/>
    </row>
    <row r="93" spans="1:10">
      <c r="A93" s="10"/>
      <c r="B93" s="11"/>
      <c r="C93" s="11"/>
      <c r="D93" s="11"/>
      <c r="E93" s="9"/>
      <c r="F93" s="9"/>
      <c r="G93" s="9"/>
      <c r="H93" s="9"/>
      <c r="I93" s="9"/>
      <c r="J93" s="9"/>
    </row>
    <row r="94" spans="1:10">
      <c r="A94" s="10"/>
      <c r="B94" s="11"/>
      <c r="C94" s="11"/>
      <c r="D94" s="11"/>
      <c r="E94" s="9"/>
      <c r="F94" s="9"/>
      <c r="G94" s="9"/>
      <c r="H94" s="9"/>
      <c r="I94" s="9"/>
      <c r="J94" s="9"/>
    </row>
    <row r="95" spans="1:10">
      <c r="A95" s="10"/>
      <c r="B95" s="11"/>
      <c r="C95" s="11"/>
      <c r="D95" s="11"/>
      <c r="E95" s="9"/>
      <c r="F95" s="9"/>
      <c r="G95" s="9"/>
      <c r="H95" s="9"/>
      <c r="I95" s="9"/>
      <c r="J95" s="9"/>
    </row>
    <row r="96" spans="1:10">
      <c r="A96" s="10"/>
      <c r="B96" s="11"/>
      <c r="C96" s="11"/>
      <c r="D96" s="11"/>
      <c r="E96" s="9"/>
      <c r="F96" s="9"/>
      <c r="G96" s="9"/>
      <c r="H96" s="9"/>
      <c r="I96" s="9"/>
      <c r="J96" s="9"/>
    </row>
    <row r="97" spans="1:10">
      <c r="A97" s="10"/>
      <c r="B97" s="11"/>
      <c r="C97" s="11"/>
      <c r="D97" s="11"/>
      <c r="E97" s="9"/>
      <c r="F97" s="9"/>
      <c r="G97" s="9"/>
      <c r="H97" s="9"/>
      <c r="I97" s="9"/>
      <c r="J97" s="9"/>
    </row>
    <row r="98" spans="1:10">
      <c r="A98" s="10"/>
      <c r="B98" s="11"/>
      <c r="C98" s="11"/>
      <c r="D98" s="11"/>
      <c r="E98" s="9"/>
      <c r="F98" s="9"/>
      <c r="G98" s="9"/>
      <c r="H98" s="9"/>
      <c r="I98" s="9"/>
      <c r="J98" s="9"/>
    </row>
    <row r="99" spans="1:10">
      <c r="A99" s="10"/>
      <c r="B99" s="11"/>
      <c r="C99" s="11"/>
      <c r="D99" s="11"/>
      <c r="E99" s="9"/>
      <c r="F99" s="9"/>
      <c r="G99" s="9"/>
      <c r="H99" s="9"/>
      <c r="I99" s="9"/>
      <c r="J99" s="9"/>
    </row>
    <row r="100" spans="1:10">
      <c r="A100" s="10"/>
      <c r="B100" s="11"/>
      <c r="C100" s="11"/>
      <c r="D100" s="11"/>
      <c r="E100" s="9"/>
      <c r="F100" s="9"/>
      <c r="G100" s="9"/>
      <c r="H100" s="9"/>
      <c r="I100" s="9"/>
      <c r="J100" s="9"/>
    </row>
    <row r="101" spans="1:10">
      <c r="A101" s="10"/>
      <c r="B101" s="11"/>
      <c r="C101" s="11"/>
      <c r="D101" s="11"/>
      <c r="E101" s="9"/>
      <c r="F101" s="9"/>
      <c r="G101" s="9"/>
      <c r="H101" s="9"/>
      <c r="I101" s="9"/>
      <c r="J101" s="9"/>
    </row>
    <row r="102" spans="1:10">
      <c r="A102" s="10"/>
      <c r="B102" s="11"/>
      <c r="C102" s="11"/>
      <c r="D102" s="11"/>
      <c r="E102" s="9"/>
      <c r="F102" s="9"/>
      <c r="G102" s="9"/>
      <c r="H102" s="9"/>
      <c r="I102" s="9"/>
      <c r="J102" s="9"/>
    </row>
    <row r="103" spans="1:10">
      <c r="A103" s="10"/>
      <c r="B103" s="11"/>
      <c r="C103" s="11"/>
      <c r="D103" s="11"/>
      <c r="E103" s="9"/>
      <c r="F103" s="9"/>
      <c r="G103" s="9"/>
      <c r="H103" s="9"/>
      <c r="I103" s="9"/>
      <c r="J103" s="9"/>
    </row>
    <row r="104" spans="1:10">
      <c r="A104" s="10"/>
      <c r="B104" s="11"/>
      <c r="C104" s="11"/>
      <c r="D104" s="11"/>
      <c r="E104" s="9"/>
      <c r="F104" s="9"/>
      <c r="G104" s="9"/>
      <c r="H104" s="9"/>
      <c r="I104" s="9"/>
      <c r="J104" s="9"/>
    </row>
    <row r="105" spans="1:10">
      <c r="A105" s="10"/>
      <c r="B105" s="11"/>
      <c r="C105" s="11"/>
      <c r="D105" s="11"/>
      <c r="E105" s="9"/>
      <c r="F105" s="9"/>
      <c r="G105" s="9"/>
      <c r="H105" s="9"/>
      <c r="I105" s="9"/>
      <c r="J105" s="9"/>
    </row>
    <row r="106" spans="1:10">
      <c r="A106" s="10"/>
      <c r="B106" s="11"/>
      <c r="C106" s="11"/>
      <c r="D106" s="11"/>
      <c r="E106" s="9"/>
      <c r="F106" s="9"/>
      <c r="G106" s="9"/>
      <c r="H106" s="9"/>
      <c r="I106" s="9"/>
      <c r="J106" s="9"/>
    </row>
    <row r="107" spans="1:10">
      <c r="A107" s="10"/>
      <c r="B107" s="11"/>
      <c r="C107" s="11"/>
      <c r="D107" s="11"/>
      <c r="E107" s="9"/>
      <c r="F107" s="9"/>
      <c r="G107" s="9"/>
      <c r="H107" s="9"/>
      <c r="I107" s="9"/>
      <c r="J107" s="9"/>
    </row>
    <row r="108" spans="1:10">
      <c r="A108" s="10"/>
      <c r="B108" s="11"/>
      <c r="C108" s="11"/>
      <c r="D108" s="11"/>
      <c r="E108" s="9"/>
      <c r="F108" s="9"/>
      <c r="G108" s="9"/>
      <c r="H108" s="9"/>
      <c r="I108" s="9"/>
      <c r="J108" s="9"/>
    </row>
    <row r="109" spans="1:10">
      <c r="A109" s="10"/>
      <c r="B109" s="11"/>
      <c r="C109" s="11"/>
      <c r="D109" s="11"/>
      <c r="E109" s="9"/>
      <c r="F109" s="9"/>
      <c r="G109" s="9"/>
      <c r="H109" s="9"/>
      <c r="I109" s="9"/>
      <c r="J109" s="9"/>
    </row>
    <row r="110" spans="1:10">
      <c r="A110" s="10"/>
      <c r="B110" s="11"/>
      <c r="C110" s="11"/>
      <c r="D110" s="11"/>
      <c r="E110" s="9"/>
      <c r="F110" s="9"/>
      <c r="G110" s="9"/>
      <c r="H110" s="9"/>
      <c r="I110" s="9"/>
      <c r="J110" s="9"/>
    </row>
    <row r="111" spans="1:10">
      <c r="A111" s="10"/>
      <c r="B111" s="11"/>
      <c r="C111" s="11"/>
      <c r="D111" s="11"/>
      <c r="E111" s="9"/>
      <c r="F111" s="9"/>
      <c r="G111" s="9"/>
      <c r="H111" s="9"/>
      <c r="I111" s="9"/>
      <c r="J111" s="9"/>
    </row>
    <row r="112" spans="1:10">
      <c r="A112" s="10"/>
      <c r="B112" s="11"/>
      <c r="C112" s="11"/>
      <c r="D112" s="11"/>
      <c r="E112" s="9"/>
      <c r="F112" s="9"/>
      <c r="G112" s="9"/>
      <c r="H112" s="9"/>
      <c r="I112" s="9"/>
      <c r="J112" s="9"/>
    </row>
    <row r="113" spans="1:10">
      <c r="A113" s="10"/>
      <c r="B113" s="11"/>
      <c r="C113" s="11"/>
      <c r="D113" s="11"/>
      <c r="E113" s="9"/>
      <c r="F113" s="9"/>
      <c r="G113" s="9"/>
      <c r="H113" s="9"/>
      <c r="I113" s="9"/>
      <c r="J113" s="9"/>
    </row>
    <row r="114" spans="1:10">
      <c r="A114" s="10"/>
      <c r="B114" s="11"/>
      <c r="C114" s="11"/>
      <c r="D114" s="11"/>
      <c r="E114" s="9"/>
      <c r="F114" s="9"/>
      <c r="G114" s="9"/>
      <c r="H114" s="9"/>
      <c r="I114" s="9"/>
      <c r="J114" s="9"/>
    </row>
    <row r="115" spans="1:10">
      <c r="A115" s="10"/>
      <c r="B115" s="11"/>
      <c r="C115" s="11"/>
      <c r="D115" s="11"/>
      <c r="E115" s="9"/>
      <c r="F115" s="9"/>
      <c r="G115" s="9"/>
      <c r="H115" s="9"/>
      <c r="I115" s="9"/>
      <c r="J115" s="9"/>
    </row>
    <row r="116" spans="1:10">
      <c r="A116" s="10"/>
      <c r="B116" s="11"/>
      <c r="C116" s="11"/>
      <c r="D116" s="11"/>
      <c r="E116" s="9"/>
      <c r="F116" s="9"/>
      <c r="G116" s="9"/>
      <c r="H116" s="9"/>
      <c r="I116" s="9"/>
      <c r="J116" s="9"/>
    </row>
    <row r="117" spans="1:10">
      <c r="A117" s="10"/>
      <c r="B117" s="11"/>
      <c r="C117" s="11"/>
      <c r="D117" s="11"/>
      <c r="E117" s="9"/>
      <c r="F117" s="9"/>
      <c r="G117" s="9"/>
      <c r="H117" s="9"/>
      <c r="I117" s="9"/>
      <c r="J117" s="9"/>
    </row>
    <row r="118" spans="1:10">
      <c r="A118" s="10"/>
      <c r="B118" s="11"/>
      <c r="C118" s="11"/>
      <c r="D118" s="11"/>
      <c r="E118" s="9"/>
      <c r="F118" s="9"/>
      <c r="G118" s="9"/>
      <c r="H118" s="9"/>
      <c r="I118" s="9"/>
      <c r="J118" s="9"/>
    </row>
    <row r="119" spans="1:10">
      <c r="A119" s="10"/>
      <c r="B119" s="11"/>
      <c r="C119" s="11"/>
      <c r="D119" s="11"/>
      <c r="E119" s="9"/>
      <c r="F119" s="9"/>
      <c r="G119" s="9"/>
      <c r="H119" s="9"/>
      <c r="I119" s="9"/>
      <c r="J119" s="9"/>
    </row>
    <row r="120" spans="1:10">
      <c r="A120" s="10"/>
      <c r="B120" s="11"/>
      <c r="C120" s="11"/>
      <c r="D120" s="11"/>
      <c r="E120" s="9"/>
      <c r="F120" s="9"/>
      <c r="G120" s="9"/>
      <c r="H120" s="9"/>
      <c r="I120" s="9"/>
      <c r="J120" s="9"/>
    </row>
    <row r="121" spans="1:10">
      <c r="A121" s="10"/>
      <c r="B121" s="11"/>
      <c r="C121" s="11"/>
      <c r="D121" s="11"/>
      <c r="E121" s="9"/>
      <c r="F121" s="9"/>
      <c r="G121" s="9"/>
      <c r="H121" s="9"/>
      <c r="I121" s="9"/>
      <c r="J121" s="9"/>
    </row>
    <row r="122" spans="1:10">
      <c r="A122" s="10"/>
      <c r="B122" s="11"/>
      <c r="C122" s="11"/>
      <c r="D122" s="11"/>
      <c r="E122" s="9"/>
      <c r="F122" s="9"/>
      <c r="G122" s="9"/>
      <c r="H122" s="9"/>
      <c r="I122" s="9"/>
      <c r="J122" s="9"/>
    </row>
    <row r="123" spans="1:10">
      <c r="A123" s="10"/>
      <c r="B123" s="11"/>
      <c r="C123" s="11"/>
      <c r="D123" s="11"/>
      <c r="E123" s="9"/>
      <c r="F123" s="9"/>
      <c r="G123" s="9"/>
      <c r="H123" s="9"/>
      <c r="I123" s="9"/>
      <c r="J123" s="9"/>
    </row>
    <row r="124" spans="1:10">
      <c r="A124" s="10"/>
      <c r="B124" s="11"/>
      <c r="C124" s="11"/>
      <c r="D124" s="11"/>
      <c r="E124" s="9"/>
      <c r="F124" s="9"/>
      <c r="G124" s="9"/>
      <c r="H124" s="9"/>
      <c r="I124" s="9"/>
      <c r="J124" s="9"/>
    </row>
    <row r="125" spans="1:10">
      <c r="A125" s="10"/>
      <c r="B125" s="11"/>
      <c r="C125" s="11"/>
      <c r="D125" s="11"/>
      <c r="E125" s="9"/>
      <c r="F125" s="9"/>
      <c r="G125" s="9"/>
      <c r="H125" s="9"/>
      <c r="I125" s="9"/>
      <c r="J125" s="9"/>
    </row>
    <row r="126" spans="1:10">
      <c r="A126" s="10"/>
      <c r="B126" s="11"/>
      <c r="C126" s="11"/>
      <c r="D126" s="11"/>
      <c r="E126" s="9"/>
      <c r="F126" s="9"/>
      <c r="G126" s="9"/>
      <c r="H126" s="9"/>
      <c r="I126" s="9"/>
      <c r="J126" s="9"/>
    </row>
    <row r="127" spans="1:10">
      <c r="A127" s="10"/>
      <c r="B127" s="11"/>
      <c r="C127" s="11"/>
      <c r="D127" s="11"/>
      <c r="E127" s="9"/>
      <c r="F127" s="9"/>
      <c r="G127" s="9"/>
      <c r="H127" s="9"/>
      <c r="I127" s="9"/>
      <c r="J127" s="9"/>
    </row>
    <row r="128" spans="1:10">
      <c r="A128" s="10"/>
      <c r="B128" s="11"/>
      <c r="C128" s="11"/>
      <c r="D128" s="11"/>
      <c r="E128" s="9"/>
      <c r="F128" s="9"/>
      <c r="G128" s="9"/>
      <c r="H128" s="9"/>
      <c r="I128" s="9"/>
      <c r="J128" s="9"/>
    </row>
    <row r="129" spans="1:10">
      <c r="A129" s="10"/>
      <c r="B129" s="11"/>
      <c r="C129" s="11"/>
      <c r="D129" s="11"/>
      <c r="E129" s="9"/>
      <c r="F129" s="9"/>
      <c r="G129" s="9"/>
      <c r="H129" s="9"/>
      <c r="I129" s="9"/>
      <c r="J129" s="9"/>
    </row>
    <row r="130" spans="1:10">
      <c r="A130" s="10"/>
      <c r="B130" s="11"/>
      <c r="C130" s="11"/>
      <c r="D130" s="11"/>
      <c r="E130" s="9"/>
      <c r="F130" s="9"/>
      <c r="G130" s="9"/>
      <c r="H130" s="9"/>
      <c r="I130" s="9"/>
      <c r="J130" s="9"/>
    </row>
    <row r="131" spans="1:10">
      <c r="A131" s="10"/>
      <c r="B131" s="11"/>
      <c r="C131" s="11"/>
      <c r="D131" s="11"/>
      <c r="E131" s="9"/>
      <c r="F131" s="9"/>
      <c r="G131" s="9"/>
      <c r="H131" s="9"/>
      <c r="I131" s="9"/>
      <c r="J131" s="9"/>
    </row>
    <row r="132" spans="1:10" ht="1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ht="1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ht="1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ht="1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ht="1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ht="1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ht="1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ht="1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ht="1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ht="1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ht="1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ht="1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ht="1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ht="1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ht="1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ht="15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5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ht="15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ht="15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ht="15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ht="15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ht="15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ht="1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ht="15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ht="15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ht="15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ht="15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ht="15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ht="15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ht="15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ht="15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ht="15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ht="15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ht="15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ht="15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ht="15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ht="15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ht="15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ht="15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ht="15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ht="15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ht="15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ht="15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ht="15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ht="15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ht="15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ht="15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ht="15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ht="15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ht="15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ht="15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ht="15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ht="1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ht="15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ht="15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ht="15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ht="15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ht="15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ht="1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ht="15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ht="15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ht="15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ht="15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ht="15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ht="15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ht="15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ht="15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ht="15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ht="15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ht="15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ht="15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ht="15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ht="15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ht="15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ht="15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ht="15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ht="15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ht="15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ht="15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ht="15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ht="15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ht="15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ht="15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ht="15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ht="15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ht="15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ht="15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ht="15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ht="15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ht="15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ht="15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ht="15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ht="15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ht="15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ht="15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ht="15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ht="15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ht="15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ht="15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ht="15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ht="15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ht="15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ht="15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ht="15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ht="15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ht="15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ht="15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ht="15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ht="15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ht="15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ht="15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ht="15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ht="15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ht="15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ht="15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ht="15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ht="15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ht="15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ht="15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ht="15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ht="15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ht="15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ht="15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ht="15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ht="15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ht="15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ht="15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ht="15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ht="15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ht="15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ht="15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ht="15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ht="15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ht="15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ht="15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ht="15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ht="15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ht="15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ht="15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ht="15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ht="15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ht="15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ht="15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ht="15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ht="15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ht="15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ht="15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ht="15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ht="15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ht="15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ht="15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ht="15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ht="15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ht="15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ht="15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ht="15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ht="15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ht="15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ht="15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ht="15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ht="15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ht="15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ht="15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ht="15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ht="15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ht="15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ht="15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ht="15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ht="15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ht="15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ht="15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ht="15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ht="15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ht="15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ht="15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ht="15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ht="15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ht="15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ht="15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ht="15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ht="15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ht="15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ht="15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ht="15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ht="15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ht="15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ht="15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ht="15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ht="15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ht="15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ht="15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ht="15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ht="15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ht="15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ht="15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ht="15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ht="15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ht="15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ht="15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ht="15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ht="15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ht="15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ht="15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ht="15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ht="15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ht="15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ht="15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ht="15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ht="15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ht="15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ht="15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ht="15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ht="15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ht="15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ht="15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ht="15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ht="1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ht="1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ht="1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ht="1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ht="1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ht="1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ht="1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ht="1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ht="1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ht="1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ht="1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ht="1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ht="1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ht="1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ht="1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ht="1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ht="1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ht="1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ht="1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ht="1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ht="1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ht="1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ht="1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ht="1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ht="1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ht="1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ht="1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ht="1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ht="1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ht="1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ht="1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ht="1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ht="1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ht="1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ht="1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ht="1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ht="1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ht="1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ht="1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ht="1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ht="1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ht="1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ht="1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ht="1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ht="1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ht="1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ht="1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ht="1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ht="1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ht="1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ht="1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ht="1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ht="1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ht="1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ht="1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ht="1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ht="1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ht="1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ht="1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ht="1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ht="1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ht="1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ht="1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ht="1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ht="1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ht="1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ht="1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ht="1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ht="1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ht="1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ht="1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ht="1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ht="1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ht="1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ht="1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ht="1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ht="1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ht="1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ht="1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ht="1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ht="1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ht="1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ht="1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ht="1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ht="1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ht="1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ht="1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ht="1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ht="1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ht="1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ht="1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ht="1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ht="1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ht="1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ht="1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ht="1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ht="1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ht="1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ht="1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ht="1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ht="1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ht="1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ht="1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ht="1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ht="1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ht="1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ht="1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ht="1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ht="1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ht="1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ht="1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ht="1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ht="1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ht="1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ht="1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ht="1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ht="1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ht="1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ht="1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ht="1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ht="1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ht="1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ht="1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ht="1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ht="1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ht="1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ht="1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ht="1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ht="1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ht="1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ht="1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ht="1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ht="1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ht="1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ht="1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ht="1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ht="1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ht="1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ht="1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ht="1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ht="1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ht="1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ht="1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ht="1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ht="1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ht="1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ht="1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ht="1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ht="1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ht="1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ht="1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ht="1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ht="1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ht="1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ht="1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ht="1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ht="1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ht="1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ht="1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ht="1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ht="1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ht="1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ht="1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ht="1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ht="1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ht="1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ht="1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ht="1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ht="1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ht="1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ht="1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ht="1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ht="1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ht="1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ht="1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ht="1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ht="1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ht="1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ht="1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ht="1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ht="1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ht="1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ht="1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ht="1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ht="1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ht="1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ht="1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ht="1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ht="1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ht="1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ht="1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ht="1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ht="1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ht="1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ht="1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ht="1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ht="1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ht="1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ht="1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ht="1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ht="1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ht="1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ht="1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ht="1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ht="1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ht="1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ht="1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ht="1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ht="1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ht="1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ht="1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ht="1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ht="1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ht="1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ht="1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ht="1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ht="1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ht="1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ht="1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ht="1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ht="1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ht="1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ht="1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ht="1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ht="1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ht="1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ht="1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ht="1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ht="1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ht="1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ht="1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ht="1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ht="1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ht="1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ht="1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ht="1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ht="1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ht="1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ht="1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ht="1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ht="1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ht="1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ht="1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ht="1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ht="1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ht="1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ht="1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ht="1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ht="1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ht="1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ht="1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ht="1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ht="1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ht="1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ht="1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ht="1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ht="1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ht="1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ht="1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ht="1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ht="1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ht="1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ht="1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ht="1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ht="1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ht="1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ht="1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ht="1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ht="1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ht="1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ht="1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ht="1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ht="1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ht="1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ht="1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ht="1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ht="1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ht="1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ht="1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ht="1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ht="1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ht="1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ht="1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ht="1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ht="1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ht="1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ht="1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ht="1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ht="1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ht="1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ht="1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ht="1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ht="1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ht="1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ht="1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ht="1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ht="1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ht="1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ht="1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ht="1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ht="1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ht="1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ht="1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ht="1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ht="1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ht="1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ht="1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ht="1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ht="1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ht="1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ht="1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ht="1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ht="1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ht="1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ht="1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ht="1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ht="1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ht="1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ht="1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ht="1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ht="1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ht="1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ht="1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ht="1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ht="1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ht="1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ht="1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ht="1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ht="1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ht="1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ht="1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ht="1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ht="1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ht="1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ht="1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ht="1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ht="1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ht="1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ht="1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ht="1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ht="1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ht="1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ht="1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ht="1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ht="1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ht="1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ht="1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ht="1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ht="1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ht="1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ht="1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ht="1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ht="1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ht="1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ht="1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ht="1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ht="1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ht="1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ht="1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ht="1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ht="1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ht="1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ht="1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ht="1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ht="1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ht="1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ht="1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ht="1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ht="1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ht="1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ht="1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ht="1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ht="1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ht="1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ht="1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ht="1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ht="1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ht="1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ht="1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ht="1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ht="1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ht="1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ht="1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ht="1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ht="1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ht="1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ht="1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ht="1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ht="1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ht="1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ht="1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ht="1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ht="1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ht="1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ht="1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ht="1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ht="1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ht="1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ht="1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ht="1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ht="1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ht="1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ht="1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ht="1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ht="1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ht="1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ht="1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ht="1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ht="1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ht="1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ht="1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ht="1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ht="1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ht="1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ht="1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ht="1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ht="1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ht="1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ht="1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ht="1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ht="1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ht="1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ht="1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ht="1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ht="1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ht="1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ht="1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ht="1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ht="1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ht="1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ht="1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ht="1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ht="1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ht="1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ht="1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ht="1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ht="1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ht="1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ht="1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ht="1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ht="1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ht="1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ht="1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ht="1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ht="1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ht="1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ht="1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ht="1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ht="1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ht="1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ht="1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ht="1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ht="1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ht="1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ht="1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ht="1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ht="1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ht="1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ht="1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ht="1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ht="1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ht="1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ht="1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ht="1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ht="1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ht="1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ht="1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ht="1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ht="1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ht="1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ht="1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ht="1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ht="1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ht="1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ht="1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ht="1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ht="1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ht="1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ht="1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ht="1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ht="1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ht="1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ht="1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ht="1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ht="1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ht="1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ht="1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ht="1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ht="1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ht="1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ht="1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ht="1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ht="1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ht="1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ht="1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ht="1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ht="1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ht="1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ht="1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ht="1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ht="1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ht="1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ht="1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ht="1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ht="1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ht="1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ht="1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ht="1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ht="1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ht="1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ht="1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ht="1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ht="1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ht="1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ht="1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ht="1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ht="1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ht="1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ht="1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ht="1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ht="1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ht="1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ht="1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ht="1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ht="1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ht="1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ht="1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ht="1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ht="1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ht="1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ht="1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ht="1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ht="1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ht="1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ht="1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ht="1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ht="1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ht="1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ht="1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ht="1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ht="1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ht="1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ht="1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ht="1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ht="1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ht="1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ht="1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ht="1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ht="1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ht="1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ht="1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ht="1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ht="1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ht="1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ht="1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ht="1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ht="1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ht="1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ht="1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ht="1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ht="1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ht="1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ht="1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ht="1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ht="1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ht="1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ht="1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ht="1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ht="1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ht="1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ht="1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ht="1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ht="1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ht="1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ht="1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ht="1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ht="1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ht="1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ht="1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ht="1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ht="1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ht="1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ht="1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ht="1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ht="1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ht="1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ht="1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ht="1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ht="1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ht="1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ht="1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ht="1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ht="1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ht="1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ht="1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ht="1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ht="1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ht="1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ht="1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ht="1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ht="1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ht="1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ht="1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ht="1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ht="1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ht="1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ht="1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ht="1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ht="1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ht="1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ht="1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ht="1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ht="1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ht="1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ht="1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ht="1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ht="1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ht="1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ht="1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ht="1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ht="1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ht="1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ht="1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ht="1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ht="1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ht="1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ht="1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ht="1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ht="1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ht="1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ht="1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ht="1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ht="1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ht="1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ht="1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ht="1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ht="1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ht="1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ht="1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ht="1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ht="1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ht="1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ht="1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ht="1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ht="1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ht="1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ht="1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ht="1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ht="1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ht="1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  <row r="1448" spans="1:10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</row>
    <row r="1449" spans="1:10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</row>
    <row r="1450" spans="1:10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</row>
    <row r="1451" spans="1:10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</row>
    <row r="1452" spans="1:10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</row>
    <row r="1453" spans="1:10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</row>
    <row r="1454" spans="1:10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</row>
    <row r="1455" spans="1:10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</row>
    <row r="1456" spans="1:10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</row>
    <row r="1457" spans="1:10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</row>
    <row r="1458" spans="1:10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</row>
    <row r="1459" spans="1:10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</row>
    <row r="1460" spans="1:10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</row>
    <row r="1461" spans="1:10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</row>
    <row r="1462" spans="1:10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</row>
    <row r="1463" spans="1:10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</row>
    <row r="1464" spans="1:10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</row>
    <row r="1465" spans="1:10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</row>
    <row r="1466" spans="1:10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</row>
    <row r="1467" spans="1:10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</row>
    <row r="1468" spans="1:10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</row>
    <row r="1469" spans="1:10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</row>
    <row r="1470" spans="1:10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</row>
    <row r="1471" spans="1:10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</row>
    <row r="1472" spans="1:10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</row>
    <row r="1473" spans="1:10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</row>
    <row r="1474" spans="1:10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</row>
    <row r="1475" spans="1:10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</row>
    <row r="1476" spans="1:10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</row>
    <row r="1477" spans="1:10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</row>
    <row r="1478" spans="1:10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</row>
    <row r="1479" spans="1:10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</row>
    <row r="1480" spans="1:10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</row>
    <row r="1481" spans="1:10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</row>
    <row r="1482" spans="1:10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</row>
    <row r="1483" spans="1:10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</row>
    <row r="1484" spans="1:10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</row>
    <row r="1485" spans="1:10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</row>
    <row r="1486" spans="1:10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</row>
    <row r="1487" spans="1:10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</row>
    <row r="1488" spans="1:10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</row>
    <row r="1489" spans="1:10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</row>
    <row r="1490" spans="1:10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</row>
    <row r="1491" spans="1:10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</row>
    <row r="1492" spans="1:10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</row>
    <row r="1493" spans="1:10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</row>
    <row r="1494" spans="1:10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</row>
    <row r="1495" spans="1:10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</row>
    <row r="1496" spans="1:10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</row>
    <row r="1497" spans="1:10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</row>
    <row r="1498" spans="1:10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</row>
    <row r="1499" spans="1:10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</row>
    <row r="1500" spans="1:10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</row>
    <row r="1501" spans="1:10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</row>
    <row r="1502" spans="1:10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</row>
    <row r="1503" spans="1:10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</row>
    <row r="1504" spans="1:10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</row>
    <row r="1505" spans="1:10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</row>
    <row r="1506" spans="1:10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</row>
    <row r="1507" spans="1:10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</row>
    <row r="1508" spans="1:10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</row>
    <row r="1509" spans="1:10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</row>
    <row r="1510" spans="1:10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</row>
    <row r="1511" spans="1:10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</row>
    <row r="1512" spans="1:10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</row>
    <row r="1513" spans="1:10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</row>
    <row r="1514" spans="1:10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</row>
    <row r="1515" spans="1:10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</row>
    <row r="1516" spans="1:10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</row>
    <row r="1517" spans="1:10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</row>
    <row r="1518" spans="1:10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</row>
    <row r="1519" spans="1:10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</row>
    <row r="1520" spans="1:10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</row>
    <row r="1521" spans="1:10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</row>
    <row r="1522" spans="1:10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</row>
    <row r="1523" spans="1:10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</row>
    <row r="1524" spans="1:10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</row>
    <row r="1525" spans="1:10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</row>
    <row r="1526" spans="1:10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</row>
    <row r="1527" spans="1:10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</row>
    <row r="1528" spans="1:10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</row>
    <row r="1529" spans="1:10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</row>
    <row r="1530" spans="1:10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</row>
    <row r="1531" spans="1:10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</row>
    <row r="1532" spans="1:10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</row>
    <row r="1533" spans="1:10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</row>
    <row r="1534" spans="1:10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</row>
    <row r="1535" spans="1:10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</row>
    <row r="1536" spans="1:10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</row>
    <row r="1537" spans="1:10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</row>
    <row r="1538" spans="1:10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</row>
    <row r="1539" spans="1:10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</row>
    <row r="1540" spans="1:10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</row>
    <row r="1541" spans="1:10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</row>
    <row r="1542" spans="1:10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</row>
    <row r="1543" spans="1:10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</row>
    <row r="1544" spans="1:10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</row>
    <row r="1545" spans="1:10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</row>
    <row r="1546" spans="1:10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</row>
    <row r="1547" spans="1:10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</row>
    <row r="1548" spans="1:10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</row>
    <row r="1549" spans="1:10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</row>
    <row r="1550" spans="1:10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</row>
    <row r="1551" spans="1:10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</row>
    <row r="1552" spans="1:10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</row>
    <row r="1553" spans="1:10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</row>
    <row r="1554" spans="1:10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</row>
    <row r="1555" spans="1:10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</row>
    <row r="1556" spans="1:10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</row>
    <row r="1557" spans="1:10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</row>
    <row r="1558" spans="1:10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</row>
    <row r="1559" spans="1:10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</row>
    <row r="1560" spans="1:10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</row>
    <row r="1561" spans="1:10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</row>
    <row r="1562" spans="1:10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</row>
    <row r="1563" spans="1:10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</row>
    <row r="1564" spans="1:10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</row>
    <row r="1565" spans="1:10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</row>
    <row r="1566" spans="1:10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</row>
    <row r="1567" spans="1:10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</row>
    <row r="1568" spans="1:10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</row>
    <row r="1569" spans="1:10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</row>
    <row r="1570" spans="1:10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</row>
    <row r="1571" spans="1:10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</row>
    <row r="1572" spans="1:10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</row>
    <row r="1573" spans="1:10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</row>
    <row r="1574" spans="1:10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</row>
    <row r="1575" spans="1:10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</row>
    <row r="1576" spans="1:10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</row>
    <row r="1577" spans="1:10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</row>
    <row r="1578" spans="1:10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</row>
    <row r="1579" spans="1:10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</row>
    <row r="1580" spans="1:10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</row>
    <row r="1581" spans="1:10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</row>
    <row r="1582" spans="1:10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</row>
    <row r="1583" spans="1:10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</row>
    <row r="1584" spans="1:10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</row>
    <row r="1585" spans="1:10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</row>
    <row r="1586" spans="1:10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</row>
    <row r="1587" spans="1:10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</row>
    <row r="1588" spans="1:10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</row>
    <row r="1589" spans="1:10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</row>
    <row r="1590" spans="1:10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</row>
    <row r="1591" spans="1:10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</row>
    <row r="1592" spans="1:10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</row>
    <row r="1593" spans="1:10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</row>
    <row r="1594" spans="1:10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</row>
    <row r="1595" spans="1:10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</row>
    <row r="1596" spans="1:10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</row>
    <row r="1597" spans="1:10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</row>
    <row r="1598" spans="1:10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</row>
    <row r="1599" spans="1:10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</row>
    <row r="1600" spans="1:10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</row>
    <row r="1601" spans="1:10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</row>
    <row r="1602" spans="1:10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</row>
    <row r="1603" spans="1:10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</row>
    <row r="1604" spans="1:10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</row>
    <row r="1605" spans="1:10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</row>
    <row r="1606" spans="1:10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</row>
    <row r="1607" spans="1:10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</row>
    <row r="1608" spans="1:10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</row>
    <row r="1609" spans="1:10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</row>
    <row r="1610" spans="1:10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</row>
    <row r="1611" spans="1:10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</row>
    <row r="1612" spans="1:10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</row>
    <row r="1613" spans="1:10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</row>
    <row r="1614" spans="1:10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</row>
    <row r="1615" spans="1:10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</row>
    <row r="1616" spans="1:10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</row>
    <row r="1617" spans="1:10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</row>
    <row r="1618" spans="1:10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</row>
    <row r="1619" spans="1:10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</row>
    <row r="1620" spans="1:10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</row>
    <row r="1621" spans="1:10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</row>
    <row r="1622" spans="1:10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</row>
    <row r="1623" spans="1:10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</row>
    <row r="1624" spans="1:10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</row>
    <row r="1625" spans="1:10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</row>
    <row r="1626" spans="1:10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</row>
    <row r="1627" spans="1:10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</row>
    <row r="1628" spans="1:10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</row>
    <row r="1629" spans="1:10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</row>
    <row r="1630" spans="1:10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</row>
    <row r="1631" spans="1:10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</row>
    <row r="1632" spans="1:10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</row>
    <row r="1633" spans="1:10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</row>
    <row r="1634" spans="1:10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</row>
    <row r="1635" spans="1:10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</row>
    <row r="1636" spans="1:10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</row>
    <row r="1637" spans="1:10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</row>
    <row r="1638" spans="1:10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</row>
    <row r="1639" spans="1:10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</row>
    <row r="1640" spans="1:10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</row>
    <row r="1641" spans="1:10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</row>
    <row r="1642" spans="1:10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</row>
    <row r="1643" spans="1:10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</row>
    <row r="1644" spans="1:10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</row>
    <row r="1645" spans="1:10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</row>
    <row r="1646" spans="1:10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</row>
    <row r="1647" spans="1:10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</row>
    <row r="1648" spans="1:10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</row>
    <row r="1649" spans="1:10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</row>
    <row r="1650" spans="1:10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</row>
    <row r="1651" spans="1:10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</row>
    <row r="1652" spans="1:10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</row>
    <row r="1653" spans="1:10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1:10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</row>
    <row r="1655" spans="1:10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</row>
    <row r="1656" spans="1:10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</row>
    <row r="1657" spans="1:10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</row>
    <row r="1658" spans="1:10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</row>
    <row r="1659" spans="1:10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</row>
    <row r="1660" spans="1:10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</row>
    <row r="1661" spans="1:10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</row>
    <row r="1662" spans="1:10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</row>
    <row r="1663" spans="1:10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</row>
    <row r="1664" spans="1:10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</row>
    <row r="1665" spans="1:10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</row>
    <row r="1666" spans="1:10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</row>
    <row r="1667" spans="1:10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</row>
    <row r="1668" spans="1:10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</row>
    <row r="1669" spans="1:10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</row>
    <row r="1670" spans="1:10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</row>
    <row r="1671" spans="1:10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</row>
    <row r="1672" spans="1:10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</row>
    <row r="1673" spans="1:10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</row>
    <row r="1674" spans="1:10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</row>
    <row r="1675" spans="1:10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</row>
    <row r="1676" spans="1:10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</row>
    <row r="1677" spans="1:10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</row>
    <row r="1678" spans="1:10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</row>
    <row r="1679" spans="1:10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</row>
    <row r="1680" spans="1:10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</row>
    <row r="1681" spans="1:10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</row>
    <row r="1682" spans="1:10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</row>
    <row r="1683" spans="1:10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</row>
    <row r="1684" spans="1:10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</row>
    <row r="1685" spans="1:10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</row>
    <row r="1686" spans="1:10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</row>
    <row r="1687" spans="1:10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</row>
    <row r="1688" spans="1:10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</row>
    <row r="1689" spans="1:10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</row>
    <row r="1690" spans="1:10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</row>
    <row r="1691" spans="1:10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</row>
    <row r="1692" spans="1:10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</row>
    <row r="1693" spans="1:10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</row>
    <row r="1694" spans="1:10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</row>
    <row r="1695" spans="1:10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</row>
    <row r="1696" spans="1:10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</row>
    <row r="1697" spans="1:10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</row>
    <row r="1698" spans="1:10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</row>
    <row r="1699" spans="1:10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</row>
    <row r="1700" spans="1:10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</row>
    <row r="1701" spans="1:10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</row>
    <row r="1702" spans="1:10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</row>
    <row r="1703" spans="1:10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</row>
    <row r="1704" spans="1:10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</row>
    <row r="1705" spans="1:10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</row>
    <row r="1706" spans="1:10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</row>
    <row r="1707" spans="1:10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</row>
    <row r="1708" spans="1:10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</row>
    <row r="1709" spans="1:10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</row>
    <row r="1710" spans="1:10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</row>
    <row r="1711" spans="1:10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</row>
    <row r="1712" spans="1:10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</row>
    <row r="1713" spans="1:10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</row>
    <row r="1714" spans="1:10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</row>
    <row r="1715" spans="1:10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</row>
    <row r="1716" spans="1:10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</row>
    <row r="1717" spans="1:10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</row>
    <row r="1718" spans="1:10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</row>
    <row r="1719" spans="1:10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</row>
    <row r="1720" spans="1:10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</row>
    <row r="1721" spans="1:10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</row>
    <row r="1722" spans="1:10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</row>
    <row r="1723" spans="1:10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</row>
    <row r="1724" spans="1:10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</row>
    <row r="1725" spans="1:10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</row>
    <row r="1726" spans="1:10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</row>
    <row r="1727" spans="1:10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</row>
    <row r="1728" spans="1:10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</row>
    <row r="1729" spans="1:10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</row>
    <row r="1730" spans="1:10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</row>
    <row r="1731" spans="1:10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</row>
    <row r="1732" spans="1:10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</row>
    <row r="1733" spans="1:10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</row>
    <row r="1734" spans="1:10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</row>
    <row r="1735" spans="1:10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</row>
    <row r="1736" spans="1:10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</row>
    <row r="1737" spans="1:10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</row>
    <row r="1738" spans="1:10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</row>
    <row r="1739" spans="1:10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</row>
    <row r="1740" spans="1:10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</row>
    <row r="1741" spans="1:10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</row>
    <row r="1742" spans="1:10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</row>
    <row r="1743" spans="1:10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</row>
    <row r="1744" spans="1:10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</row>
    <row r="1745" spans="1:10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</row>
    <row r="1746" spans="1:10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</row>
    <row r="1747" spans="1:10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</row>
    <row r="1748" spans="1:10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</row>
    <row r="1749" spans="1:10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</row>
    <row r="1750" spans="1:10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</row>
    <row r="1751" spans="1:10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</row>
    <row r="1752" spans="1:10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</row>
    <row r="1753" spans="1:10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</row>
    <row r="1754" spans="1:10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</row>
    <row r="1755" spans="1:10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</row>
    <row r="1756" spans="1:10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</row>
    <row r="1757" spans="1:10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</row>
    <row r="1758" spans="1:10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</row>
    <row r="1759" spans="1:10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</row>
    <row r="1760" spans="1:10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</row>
    <row r="1761" spans="1:10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</row>
    <row r="1762" spans="1:10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</row>
    <row r="1763" spans="1:10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</row>
    <row r="1764" spans="1:10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</row>
    <row r="1765" spans="1:10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</row>
    <row r="1766" spans="1:10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</row>
    <row r="1767" spans="1:10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</row>
    <row r="1768" spans="1:10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</row>
    <row r="1769" spans="1:10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</row>
    <row r="1770" spans="1:10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</row>
    <row r="1771" spans="1:10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</row>
    <row r="1772" spans="1:10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</row>
    <row r="1773" spans="1:10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</row>
    <row r="1774" spans="1:10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</row>
    <row r="1775" spans="1:10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</row>
    <row r="1776" spans="1:10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</row>
    <row r="1777" spans="1:10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</row>
    <row r="1778" spans="1:10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</row>
    <row r="1779" spans="1:10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</row>
    <row r="1780" spans="1:10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</row>
    <row r="1781" spans="1:10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</row>
    <row r="1782" spans="1:10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</row>
    <row r="1783" spans="1:10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</row>
    <row r="1784" spans="1:10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</row>
    <row r="1785" spans="1:10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</row>
    <row r="1786" spans="1:10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</row>
    <row r="1787" spans="1:10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</row>
    <row r="1788" spans="1:10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</row>
    <row r="1789" spans="1:10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</row>
    <row r="1790" spans="1:10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</row>
    <row r="1791" spans="1:10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</row>
    <row r="1792" spans="1:10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</row>
    <row r="1793" spans="1:10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</row>
    <row r="1794" spans="1:10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</row>
    <row r="1795" spans="1:10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</row>
    <row r="1796" spans="1:10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</row>
    <row r="1797" spans="1:10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</row>
    <row r="1798" spans="1:10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</row>
    <row r="1799" spans="1:10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</row>
    <row r="1800" spans="1:10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</row>
    <row r="1801" spans="1:10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</row>
    <row r="1802" spans="1:10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</row>
    <row r="1803" spans="1:10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</row>
    <row r="1804" spans="1:10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</row>
    <row r="1805" spans="1:10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</row>
    <row r="1806" spans="1:10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</row>
    <row r="1807" spans="1:10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</row>
    <row r="1808" spans="1:10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</row>
    <row r="1809" spans="1:10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</row>
    <row r="1810" spans="1:10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</row>
    <row r="1811" spans="1:10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</row>
    <row r="1812" spans="1:10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</row>
    <row r="1813" spans="1:10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</row>
    <row r="1814" spans="1:10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</row>
    <row r="1815" spans="1:10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</row>
    <row r="1816" spans="1:10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</row>
    <row r="1817" spans="1:10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</row>
    <row r="1818" spans="1:10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</row>
    <row r="1819" spans="1:10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</row>
    <row r="1820" spans="1:10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</row>
    <row r="1821" spans="1:10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</row>
    <row r="1822" spans="1:10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</row>
    <row r="1823" spans="1:10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</row>
    <row r="1824" spans="1:10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</row>
    <row r="1825" spans="1:10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</row>
    <row r="1826" spans="1:10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</row>
    <row r="1827" spans="1:10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</row>
    <row r="1828" spans="1:10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</row>
    <row r="1829" spans="1:10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</row>
    <row r="1830" spans="1:10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</row>
    <row r="1831" spans="1:10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</row>
    <row r="1832" spans="1:10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</row>
    <row r="1833" spans="1:10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</row>
    <row r="1834" spans="1:10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</row>
    <row r="1835" spans="1:10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</row>
    <row r="1836" spans="1:10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</row>
    <row r="1837" spans="1:10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</row>
    <row r="1838" spans="1:10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</row>
    <row r="1839" spans="1:10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</row>
    <row r="1840" spans="1:10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</row>
    <row r="1841" spans="1:10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</row>
    <row r="1842" spans="1:10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</row>
    <row r="1843" spans="1:10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</row>
    <row r="1844" spans="1:10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</row>
    <row r="1845" spans="1:10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</row>
    <row r="1846" spans="1:10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</row>
    <row r="1847" spans="1:10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</row>
    <row r="1848" spans="1:10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</row>
    <row r="1849" spans="1:10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</row>
    <row r="1850" spans="1:10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</row>
    <row r="1851" spans="1:10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</row>
    <row r="1852" spans="1:10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</row>
    <row r="1853" spans="1:10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</row>
    <row r="1854" spans="1:10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</row>
    <row r="1855" spans="1:10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</row>
    <row r="1856" spans="1:10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</row>
    <row r="1857" spans="1:10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</row>
    <row r="1858" spans="1:10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</row>
    <row r="1859" spans="1:10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</row>
    <row r="1860" spans="1:10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</row>
    <row r="1861" spans="1:10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</row>
    <row r="1862" spans="1:10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</row>
    <row r="1863" spans="1:10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</row>
    <row r="1864" spans="1:10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</row>
    <row r="1865" spans="1:10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</row>
    <row r="1866" spans="1:10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</row>
    <row r="1867" spans="1:10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</row>
    <row r="1868" spans="1:10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</row>
    <row r="1869" spans="1:10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</row>
    <row r="1870" spans="1:10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</row>
    <row r="1871" spans="1:10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</row>
    <row r="1872" spans="1:10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</row>
    <row r="1873" spans="1:10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</row>
    <row r="1874" spans="1:10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</row>
    <row r="1875" spans="1:10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</row>
    <row r="1876" spans="1:10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</row>
    <row r="1877" spans="1:10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</row>
    <row r="1878" spans="1:10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</row>
    <row r="1879" spans="1:10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</row>
    <row r="1880" spans="1:10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</row>
    <row r="1881" spans="1:10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</row>
    <row r="1882" spans="1:10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</row>
    <row r="1883" spans="1:10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</row>
    <row r="1884" spans="1:10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</row>
    <row r="1885" spans="1:10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</row>
    <row r="1886" spans="1:10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</row>
    <row r="1887" spans="1:10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</row>
    <row r="1888" spans="1:10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</row>
    <row r="1889" spans="1:10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</row>
    <row r="1890" spans="1:10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</row>
    <row r="1891" spans="1:10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</row>
    <row r="1892" spans="1:10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</row>
    <row r="1893" spans="1:10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</row>
    <row r="1894" spans="1:10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</row>
    <row r="1895" spans="1:10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</row>
    <row r="1896" spans="1:10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</row>
    <row r="1897" spans="1:10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</row>
    <row r="1898" spans="1:10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</row>
    <row r="1899" spans="1:10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</row>
    <row r="1900" spans="1:10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</row>
    <row r="1901" spans="1:10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</row>
    <row r="1902" spans="1:10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</row>
    <row r="1903" spans="1:10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</row>
    <row r="1904" spans="1:10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</row>
    <row r="1905" spans="1:10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</row>
    <row r="1906" spans="1:10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</row>
    <row r="1907" spans="1:10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</row>
    <row r="1908" spans="1:10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</row>
    <row r="1909" spans="1:10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</row>
    <row r="1910" spans="1:10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</row>
    <row r="1911" spans="1:10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</row>
    <row r="1912" spans="1:10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</row>
    <row r="1913" spans="1:10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</row>
    <row r="1914" spans="1:10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</row>
    <row r="1915" spans="1:10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</row>
    <row r="1916" spans="1:10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</row>
    <row r="1917" spans="1:10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</row>
    <row r="1918" spans="1:10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</row>
    <row r="1919" spans="1:10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</row>
    <row r="1920" spans="1:10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</row>
    <row r="1921" spans="1:10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</row>
    <row r="1922" spans="1:10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</row>
    <row r="1923" spans="1:10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</row>
    <row r="1924" spans="1:10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</row>
    <row r="1925" spans="1:10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</row>
    <row r="1926" spans="1:10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</row>
    <row r="1927" spans="1:10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</row>
    <row r="1928" spans="1:10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</row>
    <row r="1929" spans="1:10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</row>
    <row r="1930" spans="1:10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</row>
    <row r="1931" spans="1:10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</row>
    <row r="1932" spans="1:10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</row>
    <row r="1933" spans="1:10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</row>
    <row r="1934" spans="1:10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</row>
    <row r="1935" spans="1:10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</row>
    <row r="1936" spans="1:10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</row>
    <row r="1937" spans="1:10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</row>
    <row r="1938" spans="1:10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</row>
    <row r="1939" spans="1:10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</row>
    <row r="1940" spans="1:10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</row>
    <row r="1941" spans="1:10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</row>
    <row r="1942" spans="1:10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</row>
    <row r="1943" spans="1:10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</row>
    <row r="1944" spans="1:10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</row>
    <row r="1945" spans="1:10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</row>
    <row r="1946" spans="1:10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</row>
    <row r="1947" spans="1:10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</row>
    <row r="1948" spans="1:10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</row>
    <row r="1949" spans="1:10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</row>
    <row r="1950" spans="1:10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</row>
    <row r="1951" spans="1:10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</row>
    <row r="1952" spans="1:10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</row>
    <row r="1953" spans="1:10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</row>
    <row r="1954" spans="1:10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</row>
    <row r="1955" spans="1:10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</row>
    <row r="1956" spans="1:10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</row>
    <row r="1957" spans="1:10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</row>
    <row r="1958" spans="1:10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</row>
    <row r="1959" spans="1:10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</row>
    <row r="1960" spans="1:10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</row>
    <row r="1961" spans="1:10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</row>
    <row r="1962" spans="1:10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</row>
    <row r="1963" spans="1:10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</row>
    <row r="1964" spans="1:10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</row>
    <row r="1965" spans="1:10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</row>
    <row r="1966" spans="1:10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</row>
    <row r="1967" spans="1:10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</row>
    <row r="1968" spans="1:10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</row>
    <row r="1969" spans="1:10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</row>
    <row r="1970" spans="1:10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</row>
    <row r="1971" spans="1:10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</row>
    <row r="1972" spans="1:10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</row>
    <row r="1973" spans="1:10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</row>
    <row r="1974" spans="1:10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</row>
    <row r="1975" spans="1:10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</row>
    <row r="1976" spans="1:10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</row>
    <row r="1977" spans="1:10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</row>
    <row r="1978" spans="1:10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</row>
    <row r="1979" spans="1:10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</row>
    <row r="1980" spans="1:10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</row>
    <row r="1981" spans="1:10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</row>
    <row r="1982" spans="1:10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</row>
    <row r="1983" spans="1:10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</row>
    <row r="1984" spans="1:10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</row>
    <row r="1985" spans="1:10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</row>
    <row r="1986" spans="1:10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</row>
    <row r="1987" spans="1:10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</row>
    <row r="1988" spans="1:10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</row>
    <row r="1989" spans="1:10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</row>
    <row r="1990" spans="1:10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</row>
    <row r="1991" spans="1:10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</row>
    <row r="1992" spans="1:10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</row>
    <row r="1993" spans="1:10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</row>
    <row r="1994" spans="1:10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</row>
    <row r="1995" spans="1:10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</row>
    <row r="1996" spans="1:10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</row>
    <row r="1997" spans="1:10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</row>
    <row r="1998" spans="1:10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</row>
    <row r="1999" spans="1:10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</row>
    <row r="2000" spans="1:10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</row>
    <row r="2001" spans="1:10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</row>
    <row r="2002" spans="1:10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</row>
    <row r="2003" spans="1:10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</row>
    <row r="2004" spans="1:10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</row>
    <row r="2005" spans="1:10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</row>
    <row r="2006" spans="1:10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</row>
    <row r="2007" spans="1:10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</row>
    <row r="2008" spans="1:10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</row>
    <row r="2009" spans="1:10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</row>
    <row r="2010" spans="1:10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</row>
    <row r="2011" spans="1:10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</row>
    <row r="2012" spans="1:10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</row>
    <row r="2013" spans="1:10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</row>
    <row r="2014" spans="1:10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</row>
    <row r="2015" spans="1:10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</row>
    <row r="2016" spans="1:10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</row>
    <row r="2017" spans="1:10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</row>
    <row r="2018" spans="1:10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</row>
    <row r="2019" spans="1:10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</row>
    <row r="2020" spans="1:10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</row>
    <row r="2021" spans="1:10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</row>
    <row r="2022" spans="1:10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</row>
    <row r="2023" spans="1:10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</row>
    <row r="2024" spans="1:10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</row>
    <row r="2025" spans="1:10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</row>
    <row r="2026" spans="1:10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</row>
    <row r="2027" spans="1:10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</row>
    <row r="2028" spans="1:10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</row>
    <row r="2029" spans="1:10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</row>
    <row r="2030" spans="1:10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</row>
    <row r="2031" spans="1:10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</row>
    <row r="2032" spans="1:10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</row>
    <row r="2033" spans="1:10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</row>
    <row r="2034" spans="1:10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</row>
    <row r="2035" spans="1:10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</row>
    <row r="2036" spans="1:10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</row>
    <row r="2037" spans="1:10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</row>
    <row r="2038" spans="1:10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</row>
    <row r="2039" spans="1:10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</row>
    <row r="2040" spans="1:10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</row>
    <row r="2041" spans="1:10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</row>
    <row r="2042" spans="1:10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</row>
    <row r="2043" spans="1:10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</row>
    <row r="2044" spans="1:10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</row>
    <row r="2045" spans="1:10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</row>
    <row r="2046" spans="1:10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</row>
    <row r="2047" spans="1:10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</row>
    <row r="2048" spans="1:10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</row>
    <row r="2049" spans="1:10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</row>
    <row r="2050" spans="1:10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</row>
    <row r="2051" spans="1:10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</row>
    <row r="2052" spans="1:10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</row>
    <row r="2053" spans="1:10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</row>
    <row r="2054" spans="1:10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</row>
    <row r="2055" spans="1:10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</row>
    <row r="2056" spans="1:10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</row>
    <row r="2057" spans="1:10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</row>
    <row r="2058" spans="1:10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</row>
    <row r="2059" spans="1:10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</row>
    <row r="2060" spans="1:10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</row>
    <row r="2061" spans="1:10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</row>
    <row r="2062" spans="1:10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</row>
    <row r="2063" spans="1:10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</row>
    <row r="2064" spans="1:10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</row>
    <row r="2065" spans="1:10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</row>
    <row r="2066" spans="1:10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</row>
    <row r="2067" spans="1:10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</row>
    <row r="2068" spans="1:10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</row>
    <row r="2069" spans="1:10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</row>
    <row r="2070" spans="1:10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</row>
    <row r="2071" spans="1:10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</row>
    <row r="2072" spans="1:10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</row>
    <row r="2073" spans="1:10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</row>
    <row r="2074" spans="1:10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</row>
    <row r="2075" spans="1:10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</row>
    <row r="2076" spans="1:10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</row>
    <row r="2077" spans="1:10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</row>
    <row r="2078" spans="1:10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</row>
    <row r="2079" spans="1:10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</row>
    <row r="2080" spans="1:10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</row>
    <row r="2081" spans="1:10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</row>
    <row r="2082" spans="1:10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</row>
    <row r="2083" spans="1:10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</row>
    <row r="2084" spans="1:10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</row>
    <row r="2085" spans="1:10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</row>
    <row r="2086" spans="1:10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</row>
    <row r="2087" spans="1:10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</row>
    <row r="2088" spans="1:10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</row>
    <row r="2089" spans="1:10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</row>
    <row r="2090" spans="1:10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</row>
    <row r="2091" spans="1:10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</row>
    <row r="2092" spans="1:10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</row>
    <row r="2093" spans="1:10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</row>
    <row r="2094" spans="1:10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</row>
    <row r="2095" spans="1:10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</row>
    <row r="2096" spans="1:10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</row>
    <row r="2097" spans="1:10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</row>
    <row r="2098" spans="1:10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</row>
    <row r="2099" spans="1:10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</row>
    <row r="2100" spans="1:10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</row>
    <row r="2101" spans="1:10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</row>
    <row r="2102" spans="1:10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</row>
    <row r="2103" spans="1:10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</row>
    <row r="2104" spans="1:10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</row>
    <row r="2105" spans="1:10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</row>
    <row r="2106" spans="1:10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</row>
    <row r="2107" spans="1:10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</row>
    <row r="2108" spans="1:10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</row>
    <row r="2109" spans="1:10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</row>
    <row r="2110" spans="1:10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</row>
    <row r="2111" spans="1:10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</row>
    <row r="2112" spans="1:10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</row>
    <row r="2113" spans="1:10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</row>
    <row r="2114" spans="1:10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</row>
    <row r="2115" spans="1:10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</row>
    <row r="2116" spans="1:10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</row>
    <row r="2117" spans="1:10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</row>
    <row r="2118" spans="1:10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</row>
    <row r="2119" spans="1:10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</row>
    <row r="2120" spans="1:10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</row>
    <row r="2121" spans="1:10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</row>
    <row r="2122" spans="1:10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</row>
    <row r="2123" spans="1:10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</row>
    <row r="2124" spans="1:10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</row>
    <row r="2125" spans="1:10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</row>
    <row r="2126" spans="1:10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</row>
    <row r="2127" spans="1:10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</row>
    <row r="2128" spans="1:10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</row>
    <row r="2129" spans="1:10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</row>
    <row r="2130" spans="1:10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</row>
    <row r="2131" spans="1:10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</row>
    <row r="2132" spans="1:10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</row>
    <row r="2133" spans="1:10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</row>
    <row r="2134" spans="1:10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</row>
    <row r="2135" spans="1:10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</row>
    <row r="2136" spans="1:10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</row>
    <row r="2137" spans="1:10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</row>
    <row r="2138" spans="1:10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</row>
    <row r="2139" spans="1:10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</row>
    <row r="2140" spans="1:10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</row>
    <row r="2141" spans="1:10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</row>
    <row r="2142" spans="1:10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</row>
    <row r="2143" spans="1:10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</row>
    <row r="2144" spans="1:10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</row>
    <row r="2145" spans="1:10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</row>
    <row r="2146" spans="1:10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</row>
    <row r="2147" spans="1:10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</row>
    <row r="2148" spans="1:10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</row>
    <row r="2149" spans="1:10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</row>
    <row r="2150" spans="1:10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</row>
    <row r="2151" spans="1:10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</row>
    <row r="2152" spans="1:10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</row>
    <row r="2153" spans="1:10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</row>
    <row r="2154" spans="1:10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</row>
    <row r="2155" spans="1:10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</row>
    <row r="2156" spans="1:10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</row>
    <row r="2157" spans="1:10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</row>
    <row r="2158" spans="1:10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</row>
    <row r="2159" spans="1:10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</row>
    <row r="2160" spans="1:10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</row>
    <row r="2161" spans="1:10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</row>
    <row r="2162" spans="1:10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</row>
    <row r="2163" spans="1:10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</row>
    <row r="2164" spans="1:10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</row>
    <row r="2165" spans="1:10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</row>
    <row r="2166" spans="1:10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</row>
    <row r="2167" spans="1:10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</row>
    <row r="2168" spans="1:10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</row>
    <row r="2169" spans="1:10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</row>
    <row r="2170" spans="1:10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</row>
    <row r="2171" spans="1:10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</row>
    <row r="2172" spans="1:10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</row>
    <row r="2173" spans="1:10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</row>
    <row r="2174" spans="1:10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</row>
    <row r="2175" spans="1:10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</row>
    <row r="2176" spans="1:10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</row>
    <row r="2177" spans="1:10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</row>
    <row r="2178" spans="1:10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</row>
    <row r="2179" spans="1:10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</row>
    <row r="2180" spans="1:10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</row>
    <row r="2181" spans="1:10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</row>
    <row r="2182" spans="1:10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</row>
    <row r="2183" spans="1:10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</row>
    <row r="2184" spans="1:10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</row>
    <row r="2185" spans="1:10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</row>
    <row r="2186" spans="1:10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</row>
    <row r="2187" spans="1:10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</row>
    <row r="2188" spans="1:10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</row>
    <row r="2189" spans="1:10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</row>
    <row r="2190" spans="1:10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</row>
    <row r="2191" spans="1:10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</row>
    <row r="2192" spans="1:10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</row>
    <row r="2193" spans="1:10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</row>
    <row r="2194" spans="1:10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</row>
    <row r="2195" spans="1:10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</row>
    <row r="2196" spans="1:10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</row>
    <row r="2197" spans="1:10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</row>
    <row r="2198" spans="1:10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</row>
    <row r="2199" spans="1:10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</row>
    <row r="2200" spans="1:10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</row>
    <row r="2201" spans="1:10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</row>
    <row r="2202" spans="1:10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</row>
    <row r="2203" spans="1:10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</row>
    <row r="2204" spans="1:10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</row>
    <row r="2205" spans="1:10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</row>
    <row r="2206" spans="1:10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</row>
    <row r="2207" spans="1:10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</row>
    <row r="2208" spans="1:10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</row>
    <row r="2209" spans="1:10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</row>
    <row r="2210" spans="1:10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</row>
    <row r="2211" spans="1:10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</row>
    <row r="2212" spans="1:10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</row>
    <row r="2213" spans="1:10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</row>
    <row r="2214" spans="1:10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</row>
    <row r="2215" spans="1:10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</row>
    <row r="2216" spans="1:10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</row>
    <row r="2217" spans="1:10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</row>
    <row r="2218" spans="1:10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</row>
    <row r="2219" spans="1:10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</row>
    <row r="2220" spans="1:10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</row>
    <row r="2221" spans="1:10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</row>
    <row r="2222" spans="1:10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</row>
    <row r="2223" spans="1:10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</row>
    <row r="2224" spans="1:10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</row>
    <row r="2225" spans="1:10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</row>
    <row r="2226" spans="1:10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</row>
    <row r="2227" spans="1:10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</row>
    <row r="2228" spans="1:10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</row>
    <row r="2229" spans="1:10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</row>
    <row r="2230" spans="1:10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</row>
    <row r="2231" spans="1:10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</row>
    <row r="2232" spans="1:10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</row>
    <row r="2233" spans="1:10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</row>
    <row r="2234" spans="1:10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</row>
    <row r="2235" spans="1:10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</row>
    <row r="2236" spans="1:10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</row>
    <row r="2237" spans="1:10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</row>
    <row r="2238" spans="1:10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</row>
    <row r="2239" spans="1:10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</row>
    <row r="2240" spans="1:10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</row>
    <row r="2241" spans="1:10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</row>
    <row r="2242" spans="1:10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</row>
    <row r="2243" spans="1:10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</row>
    <row r="2244" spans="1:10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</row>
    <row r="2245" spans="1:10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</row>
    <row r="2246" spans="1:10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</row>
    <row r="2247" spans="1:10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</row>
    <row r="2248" spans="1:10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</row>
    <row r="2249" spans="1:10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</row>
    <row r="2250" spans="1:10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</row>
    <row r="2251" spans="1:10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</row>
    <row r="2252" spans="1:10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</row>
    <row r="2253" spans="1:10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</row>
    <row r="2254" spans="1:10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</row>
    <row r="2255" spans="1:10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</row>
    <row r="2256" spans="1:10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</row>
    <row r="2257" spans="1:10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</row>
    <row r="2258" spans="1:10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</row>
    <row r="2259" spans="1:10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</row>
    <row r="2260" spans="1:10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</row>
    <row r="2261" spans="1:10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</row>
    <row r="2262" spans="1:10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</row>
    <row r="2263" spans="1:10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</row>
    <row r="2264" spans="1:10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</row>
    <row r="2265" spans="1:10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</row>
    <row r="2266" spans="1:10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</row>
    <row r="2267" spans="1:10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</row>
    <row r="2268" spans="1:10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</row>
    <row r="2269" spans="1:10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</row>
    <row r="2270" spans="1:10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</row>
    <row r="2271" spans="1:10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</row>
    <row r="2272" spans="1:10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</row>
    <row r="2273" spans="1:10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</row>
    <row r="2274" spans="1:10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</row>
    <row r="2275" spans="1:10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</row>
    <row r="2276" spans="1:10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</row>
    <row r="2277" spans="1:10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</row>
    <row r="2278" spans="1:10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</row>
    <row r="2279" spans="1:10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</row>
    <row r="2280" spans="1:10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</row>
    <row r="2281" spans="1:10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</row>
    <row r="2282" spans="1:10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</row>
    <row r="2283" spans="1:10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</row>
    <row r="2284" spans="1:10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</row>
    <row r="2285" spans="1:10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</row>
    <row r="2286" spans="1:10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</row>
    <row r="2287" spans="1:10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</row>
    <row r="2288" spans="1:10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</row>
    <row r="2289" spans="1:10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</row>
    <row r="2290" spans="1:10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</row>
    <row r="2291" spans="1:10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</row>
    <row r="2292" spans="1:10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</row>
    <row r="2293" spans="1:10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</row>
    <row r="2294" spans="1:10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</row>
    <row r="2295" spans="1:10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</row>
    <row r="2296" spans="1:10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</row>
    <row r="2297" spans="1:10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</row>
    <row r="2298" spans="1:10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</row>
    <row r="2299" spans="1:10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</row>
    <row r="2300" spans="1:10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</row>
    <row r="2301" spans="1:10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</row>
    <row r="2302" spans="1:10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</row>
    <row r="2303" spans="1:10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</row>
    <row r="2304" spans="1:10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</row>
    <row r="2305" spans="1:10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</row>
    <row r="2306" spans="1:10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</row>
    <row r="2307" spans="1:10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</row>
    <row r="2308" spans="1:10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</row>
    <row r="2309" spans="1:10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</row>
    <row r="2310" spans="1:10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</row>
    <row r="2311" spans="1:10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</row>
    <row r="2312" spans="1:10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</row>
    <row r="2313" spans="1:10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</row>
    <row r="2314" spans="1:10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</row>
    <row r="2315" spans="1:10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</row>
    <row r="2316" spans="1:10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</row>
    <row r="2317" spans="1:10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</row>
    <row r="2318" spans="1:10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</row>
    <row r="2319" spans="1:10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</row>
    <row r="2320" spans="1:10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</row>
    <row r="2321" spans="1:10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</row>
    <row r="2322" spans="1:10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</row>
    <row r="2323" spans="1:10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</row>
    <row r="2324" spans="1:10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</row>
    <row r="2325" spans="1:10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</row>
    <row r="2326" spans="1:10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</row>
    <row r="2327" spans="1:10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</row>
    <row r="2328" spans="1:10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</row>
    <row r="2329" spans="1:10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</row>
    <row r="2330" spans="1:10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</row>
    <row r="2331" spans="1:10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</row>
    <row r="2332" spans="1:10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</row>
    <row r="2333" spans="1:10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</row>
    <row r="2334" spans="1:10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</row>
    <row r="2335" spans="1:10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</row>
    <row r="2336" spans="1:10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</row>
    <row r="2337" spans="1:10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</row>
    <row r="2338" spans="1:10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</row>
    <row r="2339" spans="1:10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</row>
    <row r="2340" spans="1:10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</row>
    <row r="2341" spans="1:10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</row>
    <row r="2342" spans="1:10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</row>
    <row r="2343" spans="1:10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</row>
    <row r="2344" spans="1:10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</row>
    <row r="2345" spans="1:10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</row>
    <row r="2346" spans="1:10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</row>
    <row r="2347" spans="1:10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</row>
    <row r="2348" spans="1:10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</row>
    <row r="2349" spans="1:10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</row>
    <row r="2350" spans="1:10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</row>
    <row r="2351" spans="1:10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</row>
    <row r="2352" spans="1:10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</row>
    <row r="2353" spans="1:10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</row>
    <row r="2354" spans="1:10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</row>
    <row r="2355" spans="1:10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</row>
    <row r="2356" spans="1:10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</row>
    <row r="2357" spans="1:10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</row>
    <row r="2358" spans="1:10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</row>
    <row r="2359" spans="1:10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</row>
    <row r="2360" spans="1:10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</row>
    <row r="2361" spans="1:10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</row>
    <row r="2362" spans="1:10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</row>
    <row r="2363" spans="1:10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</row>
    <row r="2364" spans="1:10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</row>
    <row r="2365" spans="1:10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</row>
    <row r="2366" spans="1:10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</row>
    <row r="2367" spans="1:10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</row>
    <row r="2368" spans="1:10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</row>
    <row r="2369" spans="1:10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</row>
    <row r="2370" spans="1:10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</row>
    <row r="2371" spans="1:10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</row>
    <row r="2372" spans="1:10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</row>
    <row r="2373" spans="1:10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</row>
    <row r="2374" spans="1:10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</row>
    <row r="2375" spans="1:10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</row>
    <row r="2376" spans="1:10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</row>
    <row r="2377" spans="1:10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</row>
    <row r="2378" spans="1:10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</row>
    <row r="2379" spans="1:10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</row>
    <row r="2380" spans="1:10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</row>
    <row r="2381" spans="1:10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</row>
    <row r="2382" spans="1:10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</row>
    <row r="2383" spans="1:10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</row>
    <row r="2384" spans="1:10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</row>
    <row r="2385" spans="1:10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</row>
    <row r="2386" spans="1:10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</row>
    <row r="2387" spans="1:10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</row>
    <row r="2388" spans="1:10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</row>
    <row r="2389" spans="1:10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</row>
    <row r="2390" spans="1:10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</row>
    <row r="2391" spans="1:10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</row>
    <row r="2392" spans="1:10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</row>
    <row r="2393" spans="1:10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</row>
    <row r="2394" spans="1:10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</row>
    <row r="2395" spans="1:10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</row>
    <row r="2396" spans="1:10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</row>
    <row r="2397" spans="1:10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</row>
    <row r="2398" spans="1:10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</row>
    <row r="2399" spans="1:10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</row>
    <row r="2400" spans="1:10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</row>
    <row r="2401" spans="1:10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</row>
    <row r="2402" spans="1:10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</row>
    <row r="2403" spans="1:10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</row>
    <row r="2404" spans="1:10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</row>
    <row r="2405" spans="1:10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</row>
    <row r="2406" spans="1:10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</row>
    <row r="2407" spans="1:10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</row>
    <row r="2408" spans="1:10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</row>
    <row r="2409" spans="1:10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</row>
    <row r="2410" spans="1:10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</row>
    <row r="2411" spans="1:10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</row>
    <row r="2412" spans="1:10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</row>
    <row r="2413" spans="1:10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</row>
    <row r="2414" spans="1:10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</row>
    <row r="2415" spans="1:10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</row>
    <row r="2416" spans="1:10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</row>
    <row r="2417" spans="1:10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</row>
    <row r="2418" spans="1:10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</row>
    <row r="2419" spans="1:10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</row>
    <row r="2420" spans="1:10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</row>
    <row r="2421" spans="1:10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</row>
    <row r="2422" spans="1:10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</row>
    <row r="2423" spans="1:10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</row>
    <row r="2424" spans="1:10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</row>
    <row r="2425" spans="1:10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</row>
    <row r="2426" spans="1:10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</row>
    <row r="2427" spans="1:10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</row>
    <row r="2428" spans="1:10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</row>
    <row r="2429" spans="1:10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</row>
    <row r="2430" spans="1:10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</row>
    <row r="2431" spans="1:10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</row>
    <row r="2432" spans="1:10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</row>
    <row r="2433" spans="1:10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</row>
    <row r="2434" spans="1:10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</row>
    <row r="2435" spans="1:10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</row>
    <row r="2436" spans="1:10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</row>
    <row r="2437" spans="1:10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</row>
    <row r="2438" spans="1:10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</row>
    <row r="2439" spans="1:10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</row>
    <row r="2440" spans="1:10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</row>
    <row r="2441" spans="1:10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</row>
    <row r="2442" spans="1:10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</row>
    <row r="2443" spans="1:10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</row>
    <row r="2444" spans="1:10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</row>
    <row r="2445" spans="1:10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</row>
    <row r="2446" spans="1:10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</row>
    <row r="2447" spans="1:10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</row>
    <row r="2448" spans="1:10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</row>
    <row r="2449" spans="1:10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</row>
    <row r="2450" spans="1:10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</row>
    <row r="2451" spans="1:10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</row>
    <row r="2452" spans="1:10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</row>
    <row r="2453" spans="1:10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</row>
    <row r="2454" spans="1:10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</row>
    <row r="2455" spans="1:10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</row>
    <row r="2456" spans="1:10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</row>
    <row r="2457" spans="1:10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</row>
    <row r="2458" spans="1:10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</row>
    <row r="2459" spans="1:10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</row>
    <row r="2460" spans="1:10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</row>
    <row r="2461" spans="1:10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</row>
    <row r="2462" spans="1:10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</row>
    <row r="2463" spans="1:10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</row>
    <row r="2464" spans="1:10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</row>
    <row r="2465" spans="1:10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</row>
    <row r="2466" spans="1:10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</row>
    <row r="2467" spans="1:10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</row>
    <row r="2468" spans="1:10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</row>
    <row r="2469" spans="1:10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</row>
    <row r="2470" spans="1:10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</row>
    <row r="2471" spans="1:10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</row>
    <row r="2472" spans="1:10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</row>
    <row r="2473" spans="1:10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</row>
    <row r="2474" spans="1:10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</row>
    <row r="2475" spans="1:10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</row>
    <row r="2476" spans="1:10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</row>
    <row r="2477" spans="1:10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</row>
    <row r="2478" spans="1:10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</row>
    <row r="2479" spans="1:10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</row>
    <row r="2480" spans="1:10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</row>
    <row r="2481" spans="1:10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</row>
    <row r="2482" spans="1:10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</row>
    <row r="2483" spans="1:10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</row>
    <row r="2484" spans="1:10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</row>
    <row r="2485" spans="1:10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</row>
    <row r="2486" spans="1:10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</row>
    <row r="2487" spans="1:10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</row>
    <row r="2488" spans="1:10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</row>
    <row r="2489" spans="1:10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</row>
    <row r="2490" spans="1:10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</row>
    <row r="2491" spans="1:10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</row>
    <row r="2492" spans="1:10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</row>
    <row r="2493" spans="1:10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</row>
    <row r="2494" spans="1:10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</row>
    <row r="2495" spans="1:10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</row>
    <row r="2496" spans="1:10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</row>
    <row r="2497" spans="1:10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</row>
    <row r="2498" spans="1:10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</row>
    <row r="2499" spans="1:10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</row>
    <row r="2500" spans="1:10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</row>
    <row r="2501" spans="1:10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</row>
    <row r="2502" spans="1:10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</row>
    <row r="2503" spans="1:10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</row>
    <row r="2504" spans="1:10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</row>
    <row r="2505" spans="1:10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</row>
    <row r="2506" spans="1:10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</row>
    <row r="2507" spans="1:10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</row>
    <row r="2508" spans="1:10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</row>
    <row r="2509" spans="1:10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</row>
    <row r="2510" spans="1:10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</row>
    <row r="2511" spans="1:10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</row>
    <row r="2512" spans="1:10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</row>
    <row r="2513" spans="1:10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</row>
    <row r="2514" spans="1:10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</row>
    <row r="2515" spans="1:10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</row>
    <row r="2516" spans="1:10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</row>
    <row r="2517" spans="1:10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</row>
    <row r="2518" spans="1:10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</row>
    <row r="2519" spans="1:10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</row>
    <row r="2520" spans="1:10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</row>
    <row r="2521" spans="1:10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</row>
    <row r="2522" spans="1:10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</row>
    <row r="2523" spans="1:10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</row>
    <row r="2524" spans="1:10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</row>
    <row r="2525" spans="1:10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</row>
    <row r="2526" spans="1:10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</row>
    <row r="2527" spans="1:10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</row>
    <row r="2528" spans="1:10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</row>
    <row r="2529" spans="1:10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</row>
    <row r="2530" spans="1:10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</row>
    <row r="2531" spans="1:10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</row>
    <row r="2532" spans="1:10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</row>
    <row r="2533" spans="1:10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</row>
    <row r="2534" spans="1:10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</row>
    <row r="2535" spans="1:10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</row>
    <row r="2536" spans="1:10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</row>
    <row r="2537" spans="1:10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</row>
    <row r="2538" spans="1:10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</row>
    <row r="2539" spans="1:10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</row>
    <row r="2540" spans="1:10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</row>
    <row r="2541" spans="1:10" ht="15">
      <c r="A2541" s="8"/>
      <c r="B2541" s="8"/>
      <c r="C2541" s="8"/>
      <c r="D2541" s="8"/>
      <c r="E2541" s="8"/>
      <c r="F2541" s="8"/>
      <c r="G2541" s="8"/>
      <c r="H2541" s="8"/>
      <c r="I2541" s="8"/>
      <c r="J2541" s="8"/>
    </row>
  </sheetData>
  <mergeCells count="1">
    <mergeCell ref="A1:O1"/>
  </mergeCells>
  <pageMargins left="0.25" right="0.25" top="0.75" bottom="0.75" header="0.3" footer="0.3"/>
  <pageSetup paperSize="9" scale="80" orientation="landscape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C10" zoomScale="190" zoomScaleNormal="190" workbookViewId="0">
      <selection activeCell="I19" sqref="I19"/>
    </sheetView>
  </sheetViews>
  <sheetFormatPr defaultColWidth="12.28515625" defaultRowHeight="11.25"/>
  <cols>
    <col min="1" max="1" width="3.5703125" style="177" customWidth="1"/>
    <col min="2" max="2" width="22.140625" style="177" customWidth="1"/>
    <col min="3" max="3" width="10.85546875" style="179" customWidth="1"/>
    <col min="4" max="4" width="9.5703125" style="179" customWidth="1"/>
    <col min="5" max="5" width="10" style="179" customWidth="1"/>
    <col min="6" max="6" width="9.5703125" style="177" customWidth="1"/>
    <col min="7" max="7" width="9.140625" style="177" customWidth="1"/>
    <col min="8" max="8" width="5.85546875" style="179" customWidth="1"/>
    <col min="9" max="9" width="10.42578125" style="177" customWidth="1"/>
    <col min="10" max="10" width="9.42578125" style="177" customWidth="1"/>
    <col min="11" max="11" width="9.5703125" style="177" customWidth="1"/>
    <col min="12" max="12" width="9.7109375" style="177" customWidth="1"/>
    <col min="13" max="13" width="10.7109375" style="177" customWidth="1"/>
    <col min="14" max="14" width="5.7109375" style="177" customWidth="1"/>
    <col min="15" max="15" width="9.28515625" style="178" customWidth="1"/>
    <col min="16" max="16" width="8.7109375" style="178" customWidth="1"/>
    <col min="17" max="16384" width="12.28515625" style="177"/>
  </cols>
  <sheetData>
    <row r="1" spans="1:16" ht="12.75">
      <c r="A1" s="184" t="s">
        <v>214</v>
      </c>
      <c r="B1" s="1"/>
      <c r="C1" s="175"/>
      <c r="D1" s="175"/>
      <c r="E1" s="175"/>
      <c r="F1" s="176"/>
      <c r="G1" s="176"/>
      <c r="H1" s="175"/>
    </row>
    <row r="2" spans="1:16" ht="12.75">
      <c r="A2" s="532" t="s">
        <v>747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2" thickBot="1">
      <c r="A3" s="176"/>
      <c r="B3" s="176"/>
      <c r="C3" s="175"/>
      <c r="D3" s="175"/>
      <c r="E3" s="175"/>
      <c r="F3" s="176"/>
      <c r="G3" s="176"/>
      <c r="H3" s="175"/>
    </row>
    <row r="4" spans="1:16">
      <c r="A4" s="547" t="s">
        <v>187</v>
      </c>
      <c r="B4" s="550" t="s">
        <v>188</v>
      </c>
      <c r="C4" s="562" t="s">
        <v>742</v>
      </c>
      <c r="D4" s="562"/>
      <c r="E4" s="562"/>
      <c r="F4" s="562"/>
      <c r="G4" s="562"/>
      <c r="H4" s="563"/>
      <c r="I4" s="566" t="s">
        <v>692</v>
      </c>
      <c r="J4" s="567"/>
      <c r="K4" s="567"/>
      <c r="L4" s="567"/>
      <c r="M4" s="567"/>
      <c r="N4" s="567"/>
      <c r="O4" s="556" t="s">
        <v>693</v>
      </c>
      <c r="P4" s="557"/>
    </row>
    <row r="5" spans="1:16" ht="12" thickBot="1">
      <c r="A5" s="548"/>
      <c r="B5" s="551"/>
      <c r="C5" s="564"/>
      <c r="D5" s="564"/>
      <c r="E5" s="564"/>
      <c r="F5" s="564"/>
      <c r="G5" s="564"/>
      <c r="H5" s="565"/>
      <c r="I5" s="568"/>
      <c r="J5" s="569"/>
      <c r="K5" s="569"/>
      <c r="L5" s="569"/>
      <c r="M5" s="569"/>
      <c r="N5" s="569"/>
      <c r="O5" s="558"/>
      <c r="P5" s="559"/>
    </row>
    <row r="6" spans="1:16">
      <c r="A6" s="548"/>
      <c r="B6" s="552"/>
      <c r="C6" s="543" t="s">
        <v>216</v>
      </c>
      <c r="D6" s="545" t="s">
        <v>217</v>
      </c>
      <c r="E6" s="541" t="s">
        <v>218</v>
      </c>
      <c r="F6" s="535" t="s">
        <v>8</v>
      </c>
      <c r="G6" s="537" t="s">
        <v>10</v>
      </c>
      <c r="H6" s="539" t="s">
        <v>696</v>
      </c>
      <c r="I6" s="543" t="s">
        <v>216</v>
      </c>
      <c r="J6" s="545" t="s">
        <v>217</v>
      </c>
      <c r="K6" s="541" t="s">
        <v>218</v>
      </c>
      <c r="L6" s="554" t="s">
        <v>8</v>
      </c>
      <c r="M6" s="570" t="s">
        <v>10</v>
      </c>
      <c r="N6" s="541" t="s">
        <v>696</v>
      </c>
      <c r="O6" s="558" t="s">
        <v>694</v>
      </c>
      <c r="P6" s="559" t="s">
        <v>695</v>
      </c>
    </row>
    <row r="7" spans="1:16" ht="23.25" customHeight="1" thickBot="1">
      <c r="A7" s="549"/>
      <c r="B7" s="553"/>
      <c r="C7" s="544"/>
      <c r="D7" s="546"/>
      <c r="E7" s="542"/>
      <c r="F7" s="536"/>
      <c r="G7" s="538"/>
      <c r="H7" s="540"/>
      <c r="I7" s="544"/>
      <c r="J7" s="546"/>
      <c r="K7" s="542"/>
      <c r="L7" s="555"/>
      <c r="M7" s="571"/>
      <c r="N7" s="542"/>
      <c r="O7" s="560"/>
      <c r="P7" s="561"/>
    </row>
    <row r="8" spans="1:16" ht="24">
      <c r="A8" s="329" t="s">
        <v>172</v>
      </c>
      <c r="B8" s="312" t="s">
        <v>189</v>
      </c>
      <c r="C8" s="326">
        <v>32649649.254988912</v>
      </c>
      <c r="D8" s="305">
        <v>32649649.254988912</v>
      </c>
      <c r="E8" s="310">
        <v>0</v>
      </c>
      <c r="F8" s="326">
        <v>0</v>
      </c>
      <c r="G8" s="325">
        <v>0</v>
      </c>
      <c r="H8" s="311">
        <v>0</v>
      </c>
      <c r="I8" s="296"/>
      <c r="J8" s="171"/>
      <c r="K8" s="172">
        <f t="shared" ref="K8:K29" si="0">I8-J8</f>
        <v>0</v>
      </c>
      <c r="L8" s="173"/>
      <c r="M8" s="174"/>
      <c r="N8" s="172">
        <f>K8+L8+M8</f>
        <v>0</v>
      </c>
      <c r="O8" s="297">
        <f>I8/C8*100</f>
        <v>0</v>
      </c>
      <c r="P8" s="298">
        <f>J8/D8*100</f>
        <v>0</v>
      </c>
    </row>
    <row r="9" spans="1:16" ht="12">
      <c r="A9" s="315" t="s">
        <v>173</v>
      </c>
      <c r="B9" s="303" t="s">
        <v>190</v>
      </c>
      <c r="C9" s="316">
        <v>36338358.829268292</v>
      </c>
      <c r="D9" s="328">
        <v>41098558.829268292</v>
      </c>
      <c r="E9" s="310">
        <v>-4760200</v>
      </c>
      <c r="F9" s="316">
        <v>37578000</v>
      </c>
      <c r="G9" s="318">
        <v>-32817800</v>
      </c>
      <c r="H9" s="306">
        <v>0</v>
      </c>
      <c r="I9" s="292"/>
      <c r="J9" s="7"/>
      <c r="K9" s="6">
        <f t="shared" si="0"/>
        <v>0</v>
      </c>
      <c r="L9" s="2"/>
      <c r="M9" s="5"/>
      <c r="N9" s="6">
        <f t="shared" ref="N9:N29" si="1">K9+L9+M9</f>
        <v>0</v>
      </c>
      <c r="O9" s="185">
        <f t="shared" ref="O9:O30" si="2">I9/C9*100</f>
        <v>0</v>
      </c>
      <c r="P9" s="186">
        <f t="shared" ref="P9:P30" si="3">J9/D9*100</f>
        <v>0</v>
      </c>
    </row>
    <row r="10" spans="1:16" ht="36">
      <c r="A10" s="315" t="s">
        <v>174</v>
      </c>
      <c r="B10" s="303" t="s">
        <v>191</v>
      </c>
      <c r="C10" s="316">
        <v>65358568</v>
      </c>
      <c r="D10" s="328">
        <v>65358567.936506107</v>
      </c>
      <c r="E10" s="310">
        <v>6.3493892550468445E-2</v>
      </c>
      <c r="F10" s="316">
        <v>3600000</v>
      </c>
      <c r="G10" s="318">
        <v>-3600000</v>
      </c>
      <c r="H10" s="306">
        <v>6.3493892550468445E-2</v>
      </c>
      <c r="I10" s="292"/>
      <c r="J10" s="7"/>
      <c r="K10" s="6">
        <f t="shared" si="0"/>
        <v>0</v>
      </c>
      <c r="L10" s="2"/>
      <c r="M10" s="5"/>
      <c r="N10" s="6">
        <f t="shared" si="1"/>
        <v>0</v>
      </c>
      <c r="O10" s="185">
        <f t="shared" si="2"/>
        <v>0</v>
      </c>
      <c r="P10" s="186">
        <f t="shared" si="3"/>
        <v>0</v>
      </c>
    </row>
    <row r="11" spans="1:16" ht="48">
      <c r="A11" s="315" t="s">
        <v>175</v>
      </c>
      <c r="B11" s="317" t="s">
        <v>192</v>
      </c>
      <c r="C11" s="316">
        <v>43055492.112357929</v>
      </c>
      <c r="D11" s="328">
        <v>44275492.112357929</v>
      </c>
      <c r="E11" s="310">
        <v>-1220000</v>
      </c>
      <c r="F11" s="316">
        <v>3370000</v>
      </c>
      <c r="G11" s="318">
        <v>-2150000</v>
      </c>
      <c r="H11" s="306">
        <v>0</v>
      </c>
      <c r="I11" s="292"/>
      <c r="J11" s="7"/>
      <c r="K11" s="6">
        <f t="shared" si="0"/>
        <v>0</v>
      </c>
      <c r="L11" s="2"/>
      <c r="M11" s="5"/>
      <c r="N11" s="6">
        <f t="shared" si="1"/>
        <v>0</v>
      </c>
      <c r="O11" s="185">
        <f t="shared" si="2"/>
        <v>0</v>
      </c>
      <c r="P11" s="186">
        <f t="shared" si="3"/>
        <v>0</v>
      </c>
    </row>
    <row r="12" spans="1:16" ht="12">
      <c r="A12" s="315" t="s">
        <v>176</v>
      </c>
      <c r="B12" s="313" t="s">
        <v>193</v>
      </c>
      <c r="C12" s="316">
        <v>46088584.526176065</v>
      </c>
      <c r="D12" s="328">
        <v>45807784.526176065</v>
      </c>
      <c r="E12" s="310">
        <v>280800</v>
      </c>
      <c r="F12" s="316">
        <v>470000</v>
      </c>
      <c r="G12" s="318">
        <v>-750800</v>
      </c>
      <c r="H12" s="306">
        <v>0</v>
      </c>
      <c r="I12" s="292"/>
      <c r="J12" s="7"/>
      <c r="K12" s="6">
        <f t="shared" si="0"/>
        <v>0</v>
      </c>
      <c r="L12" s="2"/>
      <c r="M12" s="5"/>
      <c r="N12" s="6">
        <f t="shared" si="1"/>
        <v>0</v>
      </c>
      <c r="O12" s="185">
        <f t="shared" si="2"/>
        <v>0</v>
      </c>
      <c r="P12" s="186">
        <f t="shared" si="3"/>
        <v>0</v>
      </c>
    </row>
    <row r="13" spans="1:16" ht="24">
      <c r="A13" s="315" t="s">
        <v>177</v>
      </c>
      <c r="B13" s="314" t="s">
        <v>194</v>
      </c>
      <c r="C13" s="316">
        <v>29880331.520593435</v>
      </c>
      <c r="D13" s="328">
        <v>29264160.520593435</v>
      </c>
      <c r="E13" s="310">
        <v>616171</v>
      </c>
      <c r="F13" s="316">
        <v>2385321</v>
      </c>
      <c r="G13" s="318">
        <v>-3001492</v>
      </c>
      <c r="H13" s="306">
        <v>0</v>
      </c>
      <c r="I13" s="292"/>
      <c r="J13" s="7"/>
      <c r="K13" s="6">
        <f t="shared" si="0"/>
        <v>0</v>
      </c>
      <c r="L13" s="2"/>
      <c r="M13" s="5"/>
      <c r="N13" s="6">
        <f t="shared" si="1"/>
        <v>0</v>
      </c>
      <c r="O13" s="185">
        <f t="shared" si="2"/>
        <v>0</v>
      </c>
      <c r="P13" s="186">
        <f t="shared" si="3"/>
        <v>0</v>
      </c>
    </row>
    <row r="14" spans="1:16" ht="24">
      <c r="A14" s="315" t="s">
        <v>178</v>
      </c>
      <c r="B14" s="317" t="s">
        <v>195</v>
      </c>
      <c r="C14" s="316">
        <v>24243025.815964524</v>
      </c>
      <c r="D14" s="328">
        <v>24167025.815964524</v>
      </c>
      <c r="E14" s="310">
        <v>76000</v>
      </c>
      <c r="F14" s="316">
        <v>45000</v>
      </c>
      <c r="G14" s="318">
        <v>-121000</v>
      </c>
      <c r="H14" s="306">
        <v>0</v>
      </c>
      <c r="I14" s="292"/>
      <c r="J14" s="7"/>
      <c r="K14" s="6">
        <f t="shared" si="0"/>
        <v>0</v>
      </c>
      <c r="L14" s="2"/>
      <c r="M14" s="5"/>
      <c r="N14" s="6">
        <f t="shared" si="1"/>
        <v>0</v>
      </c>
      <c r="O14" s="185">
        <f t="shared" si="2"/>
        <v>0</v>
      </c>
      <c r="P14" s="186">
        <f t="shared" si="3"/>
        <v>0</v>
      </c>
    </row>
    <row r="15" spans="1:16" ht="24">
      <c r="A15" s="315" t="s">
        <v>179</v>
      </c>
      <c r="B15" s="314" t="s">
        <v>196</v>
      </c>
      <c r="C15" s="316">
        <v>25763073.218598064</v>
      </c>
      <c r="D15" s="328">
        <v>25939873.218598064</v>
      </c>
      <c r="E15" s="310">
        <v>-176800</v>
      </c>
      <c r="F15" s="316">
        <v>4800000</v>
      </c>
      <c r="G15" s="318">
        <v>-4623200</v>
      </c>
      <c r="H15" s="306">
        <v>0</v>
      </c>
      <c r="I15" s="292"/>
      <c r="J15" s="7"/>
      <c r="K15" s="6">
        <f t="shared" si="0"/>
        <v>0</v>
      </c>
      <c r="L15" s="2"/>
      <c r="M15" s="5"/>
      <c r="N15" s="6">
        <f t="shared" si="1"/>
        <v>0</v>
      </c>
      <c r="O15" s="185">
        <f t="shared" si="2"/>
        <v>0</v>
      </c>
      <c r="P15" s="186">
        <f t="shared" si="3"/>
        <v>0</v>
      </c>
    </row>
    <row r="16" spans="1:16" ht="24">
      <c r="A16" s="315" t="s">
        <v>180</v>
      </c>
      <c r="B16" s="301" t="s">
        <v>197</v>
      </c>
      <c r="C16" s="316">
        <v>8772185.568059314</v>
      </c>
      <c r="D16" s="328">
        <v>9022185.568059314</v>
      </c>
      <c r="E16" s="310">
        <v>-250000</v>
      </c>
      <c r="F16" s="316">
        <v>1200000</v>
      </c>
      <c r="G16" s="318">
        <v>-950000</v>
      </c>
      <c r="H16" s="306">
        <v>0</v>
      </c>
      <c r="I16" s="292"/>
      <c r="J16" s="7"/>
      <c r="K16" s="6">
        <f t="shared" si="0"/>
        <v>0</v>
      </c>
      <c r="L16" s="2"/>
      <c r="M16" s="5"/>
      <c r="N16" s="6">
        <f t="shared" si="1"/>
        <v>0</v>
      </c>
      <c r="O16" s="185">
        <f t="shared" si="2"/>
        <v>0</v>
      </c>
      <c r="P16" s="186">
        <f t="shared" si="3"/>
        <v>0</v>
      </c>
    </row>
    <row r="17" spans="1:16" ht="12">
      <c r="A17" s="315" t="s">
        <v>181</v>
      </c>
      <c r="B17" s="301" t="s">
        <v>198</v>
      </c>
      <c r="C17" s="316">
        <v>29608371.076128487</v>
      </c>
      <c r="D17" s="328">
        <v>30214641.076128487</v>
      </c>
      <c r="E17" s="310">
        <v>-606270</v>
      </c>
      <c r="F17" s="316">
        <v>1216270</v>
      </c>
      <c r="G17" s="318">
        <v>-610000</v>
      </c>
      <c r="H17" s="306">
        <v>0</v>
      </c>
      <c r="I17" s="292"/>
      <c r="J17" s="7"/>
      <c r="K17" s="6">
        <f t="shared" si="0"/>
        <v>0</v>
      </c>
      <c r="L17" s="2"/>
      <c r="M17" s="5"/>
      <c r="N17" s="6">
        <f t="shared" si="1"/>
        <v>0</v>
      </c>
      <c r="O17" s="185">
        <f t="shared" si="2"/>
        <v>0</v>
      </c>
      <c r="P17" s="186">
        <f t="shared" si="3"/>
        <v>0</v>
      </c>
    </row>
    <row r="18" spans="1:16" s="463" customFormat="1" ht="12">
      <c r="A18" s="449" t="s">
        <v>182</v>
      </c>
      <c r="B18" s="450" t="s">
        <v>199</v>
      </c>
      <c r="C18" s="451">
        <v>31202147.593506113</v>
      </c>
      <c r="D18" s="452">
        <v>35356228.593506113</v>
      </c>
      <c r="E18" s="453">
        <v>-4154081</v>
      </c>
      <c r="F18" s="451">
        <v>17684200</v>
      </c>
      <c r="G18" s="454">
        <v>-13530119</v>
      </c>
      <c r="H18" s="455">
        <v>0</v>
      </c>
      <c r="I18" s="456">
        <f>+'prihodi i primici'!C37</f>
        <v>29705800</v>
      </c>
      <c r="J18" s="457">
        <f>+'rashodi i izdaci'!C3</f>
        <v>30083000</v>
      </c>
      <c r="K18" s="458">
        <f t="shared" si="0"/>
        <v>-377200</v>
      </c>
      <c r="L18" s="459">
        <f>+'prihodi i primici'!C5</f>
        <v>18441600</v>
      </c>
      <c r="M18" s="460">
        <f>+'prihodi i primici'!C7</f>
        <v>-18064400</v>
      </c>
      <c r="N18" s="458">
        <f t="shared" si="1"/>
        <v>0</v>
      </c>
      <c r="O18" s="461">
        <f t="shared" si="2"/>
        <v>95.204344223352308</v>
      </c>
      <c r="P18" s="462">
        <f t="shared" si="3"/>
        <v>85.085432459064236</v>
      </c>
    </row>
    <row r="19" spans="1:16" ht="24">
      <c r="A19" s="315" t="s">
        <v>183</v>
      </c>
      <c r="B19" s="301" t="s">
        <v>200</v>
      </c>
      <c r="C19" s="316">
        <v>30996121.915433981</v>
      </c>
      <c r="D19" s="328">
        <v>37499176.915433981</v>
      </c>
      <c r="E19" s="310">
        <v>-6503055</v>
      </c>
      <c r="F19" s="316">
        <v>6700550</v>
      </c>
      <c r="G19" s="318">
        <v>-197495</v>
      </c>
      <c r="H19" s="306">
        <v>0</v>
      </c>
      <c r="I19" s="292"/>
      <c r="J19" s="7"/>
      <c r="K19" s="6">
        <f t="shared" si="0"/>
        <v>0</v>
      </c>
      <c r="L19" s="2"/>
      <c r="M19" s="5"/>
      <c r="N19" s="6">
        <f t="shared" si="1"/>
        <v>0</v>
      </c>
      <c r="O19" s="185">
        <f t="shared" si="2"/>
        <v>0</v>
      </c>
      <c r="P19" s="186">
        <f t="shared" si="3"/>
        <v>0</v>
      </c>
    </row>
    <row r="20" spans="1:16" ht="12">
      <c r="A20" s="315" t="s">
        <v>184</v>
      </c>
      <c r="B20" s="301" t="s">
        <v>201</v>
      </c>
      <c r="C20" s="316">
        <v>21857453.773340411</v>
      </c>
      <c r="D20" s="328">
        <v>23327453.773340411</v>
      </c>
      <c r="E20" s="310">
        <v>-1470000</v>
      </c>
      <c r="F20" s="316">
        <v>15670000</v>
      </c>
      <c r="G20" s="318">
        <v>-14200000</v>
      </c>
      <c r="H20" s="306">
        <v>0</v>
      </c>
      <c r="I20" s="292"/>
      <c r="J20" s="7"/>
      <c r="K20" s="6">
        <f t="shared" si="0"/>
        <v>0</v>
      </c>
      <c r="L20" s="2"/>
      <c r="M20" s="5"/>
      <c r="N20" s="6">
        <f t="shared" si="1"/>
        <v>0</v>
      </c>
      <c r="O20" s="185">
        <f t="shared" si="2"/>
        <v>0</v>
      </c>
      <c r="P20" s="186">
        <f t="shared" si="3"/>
        <v>0</v>
      </c>
    </row>
    <row r="21" spans="1:16" ht="12">
      <c r="A21" s="315" t="s">
        <v>185</v>
      </c>
      <c r="B21" s="301" t="s">
        <v>202</v>
      </c>
      <c r="C21" s="316">
        <v>14470814</v>
      </c>
      <c r="D21" s="328">
        <v>14434374</v>
      </c>
      <c r="E21" s="310">
        <v>36440</v>
      </c>
      <c r="F21" s="316">
        <v>368900</v>
      </c>
      <c r="G21" s="318">
        <v>-405340</v>
      </c>
      <c r="H21" s="306">
        <v>0</v>
      </c>
      <c r="I21" s="292"/>
      <c r="J21" s="7"/>
      <c r="K21" s="6">
        <f t="shared" si="0"/>
        <v>0</v>
      </c>
      <c r="L21" s="2"/>
      <c r="M21" s="5"/>
      <c r="N21" s="6">
        <f t="shared" si="1"/>
        <v>0</v>
      </c>
      <c r="O21" s="185">
        <f t="shared" si="2"/>
        <v>0</v>
      </c>
      <c r="P21" s="186">
        <f t="shared" si="3"/>
        <v>0</v>
      </c>
    </row>
    <row r="22" spans="1:16" ht="12">
      <c r="A22" s="315" t="s">
        <v>186</v>
      </c>
      <c r="B22" s="301" t="s">
        <v>203</v>
      </c>
      <c r="C22" s="316">
        <v>6050188</v>
      </c>
      <c r="D22" s="328">
        <v>6050188</v>
      </c>
      <c r="E22" s="310">
        <v>0</v>
      </c>
      <c r="F22" s="316">
        <v>0</v>
      </c>
      <c r="G22" s="318">
        <v>0</v>
      </c>
      <c r="H22" s="306">
        <v>0</v>
      </c>
      <c r="I22" s="292"/>
      <c r="J22" s="7"/>
      <c r="K22" s="6">
        <f t="shared" si="0"/>
        <v>0</v>
      </c>
      <c r="L22" s="2"/>
      <c r="M22" s="5"/>
      <c r="N22" s="6">
        <f t="shared" si="1"/>
        <v>0</v>
      </c>
      <c r="O22" s="185">
        <f t="shared" si="2"/>
        <v>0</v>
      </c>
      <c r="P22" s="186">
        <f t="shared" si="3"/>
        <v>0</v>
      </c>
    </row>
    <row r="23" spans="1:16" ht="12">
      <c r="A23" s="315" t="s">
        <v>204</v>
      </c>
      <c r="B23" s="301" t="s">
        <v>205</v>
      </c>
      <c r="C23" s="316">
        <v>8741448</v>
      </c>
      <c r="D23" s="328">
        <v>8589648</v>
      </c>
      <c r="E23" s="310">
        <v>151800</v>
      </c>
      <c r="F23" s="316">
        <v>222610</v>
      </c>
      <c r="G23" s="318">
        <v>-374410</v>
      </c>
      <c r="H23" s="306">
        <v>0</v>
      </c>
      <c r="I23" s="292"/>
      <c r="J23" s="7"/>
      <c r="K23" s="6">
        <f t="shared" si="0"/>
        <v>0</v>
      </c>
      <c r="L23" s="2"/>
      <c r="M23" s="5"/>
      <c r="N23" s="6">
        <f t="shared" si="1"/>
        <v>0</v>
      </c>
      <c r="O23" s="185">
        <f t="shared" si="2"/>
        <v>0</v>
      </c>
      <c r="P23" s="186">
        <f t="shared" si="3"/>
        <v>0</v>
      </c>
    </row>
    <row r="24" spans="1:16" ht="12">
      <c r="A24" s="315" t="s">
        <v>206</v>
      </c>
      <c r="B24" s="301" t="s">
        <v>207</v>
      </c>
      <c r="C24" s="316">
        <v>11913286</v>
      </c>
      <c r="D24" s="328">
        <v>11874476</v>
      </c>
      <c r="E24" s="310">
        <v>38810</v>
      </c>
      <c r="F24" s="316">
        <v>1470000</v>
      </c>
      <c r="G24" s="318">
        <v>-1508810</v>
      </c>
      <c r="H24" s="306">
        <v>0</v>
      </c>
      <c r="I24" s="292"/>
      <c r="J24" s="7"/>
      <c r="K24" s="6">
        <f t="shared" si="0"/>
        <v>0</v>
      </c>
      <c r="L24" s="2"/>
      <c r="M24" s="5"/>
      <c r="N24" s="6">
        <f t="shared" si="1"/>
        <v>0</v>
      </c>
      <c r="O24" s="185">
        <f t="shared" si="2"/>
        <v>0</v>
      </c>
      <c r="P24" s="186">
        <f t="shared" si="3"/>
        <v>0</v>
      </c>
    </row>
    <row r="25" spans="1:16" ht="12">
      <c r="A25" s="315" t="s">
        <v>208</v>
      </c>
      <c r="B25" s="301" t="s">
        <v>170</v>
      </c>
      <c r="C25" s="316">
        <v>126700390</v>
      </c>
      <c r="D25" s="328">
        <v>137693501</v>
      </c>
      <c r="E25" s="310">
        <v>-10993111</v>
      </c>
      <c r="F25" s="316">
        <v>19504620</v>
      </c>
      <c r="G25" s="318">
        <v>-8511509</v>
      </c>
      <c r="H25" s="306">
        <v>0</v>
      </c>
      <c r="I25" s="292"/>
      <c r="J25" s="7"/>
      <c r="K25" s="6">
        <f t="shared" si="0"/>
        <v>0</v>
      </c>
      <c r="L25" s="2"/>
      <c r="M25" s="5"/>
      <c r="N25" s="6">
        <f t="shared" si="1"/>
        <v>0</v>
      </c>
      <c r="O25" s="185">
        <f t="shared" si="2"/>
        <v>0</v>
      </c>
      <c r="P25" s="186">
        <f t="shared" si="3"/>
        <v>0</v>
      </c>
    </row>
    <row r="26" spans="1:16" ht="12">
      <c r="A26" s="315" t="s">
        <v>211</v>
      </c>
      <c r="B26" s="301" t="s">
        <v>169</v>
      </c>
      <c r="C26" s="316">
        <v>9602928.4038683698</v>
      </c>
      <c r="D26" s="328">
        <v>9752928.4038683698</v>
      </c>
      <c r="E26" s="310">
        <v>-150000</v>
      </c>
      <c r="F26" s="316">
        <v>150000</v>
      </c>
      <c r="G26" s="318">
        <v>0</v>
      </c>
      <c r="H26" s="306">
        <v>0</v>
      </c>
      <c r="I26" s="292"/>
      <c r="J26" s="7"/>
      <c r="K26" s="6">
        <f t="shared" si="0"/>
        <v>0</v>
      </c>
      <c r="L26" s="2"/>
      <c r="M26" s="5"/>
      <c r="N26" s="6">
        <f t="shared" si="1"/>
        <v>0</v>
      </c>
      <c r="O26" s="299">
        <f t="shared" si="2"/>
        <v>0</v>
      </c>
      <c r="P26" s="300">
        <f t="shared" si="3"/>
        <v>0</v>
      </c>
    </row>
    <row r="27" spans="1:16" ht="12">
      <c r="A27" s="315" t="s">
        <v>212</v>
      </c>
      <c r="B27" s="301" t="s">
        <v>209</v>
      </c>
      <c r="C27" s="316">
        <v>42110000</v>
      </c>
      <c r="D27" s="328">
        <v>42110000</v>
      </c>
      <c r="E27" s="310">
        <v>0</v>
      </c>
      <c r="F27" s="316">
        <v>0</v>
      </c>
      <c r="G27" s="318">
        <v>0</v>
      </c>
      <c r="H27" s="306">
        <v>0</v>
      </c>
      <c r="I27" s="292"/>
      <c r="J27" s="7"/>
      <c r="K27" s="6">
        <f t="shared" si="0"/>
        <v>0</v>
      </c>
      <c r="L27" s="2"/>
      <c r="M27" s="5"/>
      <c r="N27" s="6">
        <f t="shared" si="1"/>
        <v>0</v>
      </c>
      <c r="O27" s="299">
        <f t="shared" si="2"/>
        <v>0</v>
      </c>
      <c r="P27" s="300">
        <f t="shared" si="3"/>
        <v>0</v>
      </c>
    </row>
    <row r="28" spans="1:16" ht="12">
      <c r="A28" s="315" t="s">
        <v>213</v>
      </c>
      <c r="B28" s="301" t="s">
        <v>210</v>
      </c>
      <c r="C28" s="307">
        <v>4200000</v>
      </c>
      <c r="D28" s="324">
        <v>4200000</v>
      </c>
      <c r="E28" s="310">
        <v>0</v>
      </c>
      <c r="F28" s="307">
        <v>0</v>
      </c>
      <c r="G28" s="302">
        <v>0</v>
      </c>
      <c r="H28" s="308">
        <v>0</v>
      </c>
      <c r="I28" s="292"/>
      <c r="J28" s="7"/>
      <c r="K28" s="6">
        <f t="shared" si="0"/>
        <v>0</v>
      </c>
      <c r="L28" s="2"/>
      <c r="M28" s="5"/>
      <c r="N28" s="6">
        <f t="shared" si="1"/>
        <v>0</v>
      </c>
      <c r="O28" s="299">
        <f t="shared" si="2"/>
        <v>0</v>
      </c>
      <c r="P28" s="300">
        <f t="shared" si="3"/>
        <v>0</v>
      </c>
    </row>
    <row r="29" spans="1:16" ht="12.75" thickBot="1">
      <c r="A29" s="291" t="s">
        <v>740</v>
      </c>
      <c r="B29" s="319" t="s">
        <v>741</v>
      </c>
      <c r="C29" s="293"/>
      <c r="D29" s="322"/>
      <c r="E29" s="6">
        <f t="shared" ref="E29" si="4">C29-D29</f>
        <v>0</v>
      </c>
      <c r="F29" s="327"/>
      <c r="G29" s="294"/>
      <c r="H29" s="295">
        <f t="shared" ref="H29" si="5">E29+F29+G29</f>
        <v>0</v>
      </c>
      <c r="I29" s="293"/>
      <c r="J29" s="322"/>
      <c r="K29" s="6">
        <f t="shared" si="0"/>
        <v>0</v>
      </c>
      <c r="L29" s="304"/>
      <c r="M29" s="323"/>
      <c r="N29" s="6">
        <f t="shared" si="1"/>
        <v>0</v>
      </c>
      <c r="O29" s="299" t="e">
        <f t="shared" si="2"/>
        <v>#DIV/0!</v>
      </c>
      <c r="P29" s="300" t="e">
        <f t="shared" si="3"/>
        <v>#DIV/0!</v>
      </c>
    </row>
    <row r="30" spans="1:16" s="179" customFormat="1" ht="12.75" customHeight="1" thickBot="1">
      <c r="A30" s="533" t="s">
        <v>171</v>
      </c>
      <c r="B30" s="534"/>
      <c r="C30" s="3">
        <f>SUM(C8:C29)</f>
        <v>649602417.60828388</v>
      </c>
      <c r="D30" s="309">
        <f t="shared" ref="D30:N30" si="6">SUM(D8:D29)</f>
        <v>678685913.54478991</v>
      </c>
      <c r="E30" s="4">
        <f t="shared" si="6"/>
        <v>-29083495.936506107</v>
      </c>
      <c r="F30" s="320">
        <f t="shared" si="6"/>
        <v>116435471</v>
      </c>
      <c r="G30" s="321">
        <f t="shared" si="6"/>
        <v>-87351975</v>
      </c>
      <c r="H30" s="3">
        <f t="shared" si="6"/>
        <v>6.3493892550468445E-2</v>
      </c>
      <c r="I30" s="3">
        <f t="shared" si="6"/>
        <v>29705800</v>
      </c>
      <c r="J30" s="309">
        <f t="shared" si="6"/>
        <v>30083000</v>
      </c>
      <c r="K30" s="4">
        <f t="shared" si="6"/>
        <v>-377200</v>
      </c>
      <c r="L30" s="3">
        <f t="shared" si="6"/>
        <v>18441600</v>
      </c>
      <c r="M30" s="309">
        <f t="shared" si="6"/>
        <v>-18064400</v>
      </c>
      <c r="N30" s="4">
        <f t="shared" si="6"/>
        <v>0</v>
      </c>
      <c r="O30" s="187">
        <f t="shared" si="2"/>
        <v>4.5729201731377893</v>
      </c>
      <c r="P30" s="188">
        <f t="shared" si="3"/>
        <v>4.4325363764920214</v>
      </c>
    </row>
    <row r="31" spans="1:16" s="179" customFormat="1">
      <c r="A31" s="180"/>
      <c r="B31" s="180"/>
      <c r="C31" s="181"/>
      <c r="D31" s="181"/>
      <c r="E31" s="181"/>
      <c r="F31" s="181"/>
      <c r="G31" s="181"/>
      <c r="H31" s="181"/>
      <c r="I31" s="182"/>
      <c r="O31" s="183"/>
      <c r="P31" s="183"/>
    </row>
    <row r="32" spans="1:16" s="179" customFormat="1">
      <c r="A32" s="180"/>
      <c r="B32" s="180"/>
      <c r="C32" s="181"/>
      <c r="D32" s="181"/>
      <c r="E32" s="181"/>
      <c r="F32" s="181"/>
      <c r="G32" s="181"/>
      <c r="H32" s="181"/>
      <c r="I32" s="182"/>
      <c r="O32" s="183"/>
      <c r="P32" s="183"/>
    </row>
  </sheetData>
  <mergeCells count="21">
    <mergeCell ref="P6:P7"/>
    <mergeCell ref="N6:N7"/>
    <mergeCell ref="C4:H5"/>
    <mergeCell ref="I4:N5"/>
    <mergeCell ref="M6:M7"/>
    <mergeCell ref="A2:P2"/>
    <mergeCell ref="A30:B30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zoomScale="160" zoomScaleNormal="160" workbookViewId="0">
      <pane xSplit="2" ySplit="8" topLeftCell="AB18" activePane="bottomRight" state="frozen"/>
      <selection pane="topRight" activeCell="C1" sqref="C1"/>
      <selection pane="bottomLeft" activeCell="A9" sqref="A9"/>
      <selection pane="bottomRight" activeCell="AA19" sqref="AA19"/>
    </sheetView>
  </sheetViews>
  <sheetFormatPr defaultRowHeight="15"/>
  <cols>
    <col min="1" max="1" width="5.7109375" customWidth="1"/>
    <col min="2" max="2" width="17.42578125" customWidth="1"/>
    <col min="3" max="3" width="11.85546875" customWidth="1"/>
    <col min="4" max="4" width="12" customWidth="1"/>
    <col min="5" max="5" width="11.28515625" customWidth="1"/>
    <col min="6" max="6" width="13.85546875" style="428" customWidth="1"/>
    <col min="7" max="18" width="13.85546875" customWidth="1"/>
    <col min="19" max="19" width="14.140625" style="428" customWidth="1"/>
    <col min="20" max="20" width="13.42578125" customWidth="1"/>
    <col min="21" max="21" width="12" customWidth="1"/>
    <col min="22" max="22" width="13.5703125" customWidth="1"/>
    <col min="23" max="23" width="13.42578125" customWidth="1"/>
    <col min="24" max="24" width="11.7109375" customWidth="1"/>
    <col min="25" max="25" width="13.140625" customWidth="1"/>
    <col min="26" max="27" width="11.7109375" customWidth="1"/>
    <col min="28" max="28" width="13.140625" customWidth="1"/>
    <col min="29" max="32" width="11.7109375" customWidth="1"/>
    <col min="33" max="33" width="13.7109375" style="428" customWidth="1"/>
    <col min="34" max="34" width="12.7109375" customWidth="1"/>
    <col min="35" max="35" width="15.42578125" customWidth="1"/>
    <col min="36" max="37" width="13.7109375" customWidth="1"/>
  </cols>
  <sheetData>
    <row r="1" spans="1:47">
      <c r="A1" s="184" t="s">
        <v>214</v>
      </c>
      <c r="B1" s="1"/>
      <c r="C1" s="1"/>
      <c r="D1" s="1"/>
      <c r="E1" s="1"/>
      <c r="F1" s="175"/>
      <c r="G1" s="175"/>
      <c r="H1" s="175"/>
      <c r="I1" s="176"/>
      <c r="J1" s="176"/>
      <c r="K1" s="175"/>
      <c r="L1" s="177"/>
      <c r="M1" s="177"/>
      <c r="N1" s="177"/>
      <c r="O1" s="177"/>
      <c r="P1" s="177"/>
      <c r="Q1" s="177"/>
      <c r="R1" s="178"/>
      <c r="S1" s="183"/>
    </row>
    <row r="2" spans="1:47">
      <c r="A2" s="532" t="s">
        <v>767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</row>
    <row r="4" spans="1:47" ht="15.75" thickBot="1"/>
    <row r="5" spans="1:47">
      <c r="A5" s="572" t="s">
        <v>187</v>
      </c>
      <c r="B5" s="597" t="s">
        <v>188</v>
      </c>
      <c r="C5" s="589" t="s">
        <v>761</v>
      </c>
      <c r="D5" s="590"/>
      <c r="E5" s="591"/>
      <c r="F5" s="583" t="s">
        <v>748</v>
      </c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97"/>
      <c r="S5" s="572" t="s">
        <v>217</v>
      </c>
      <c r="T5" s="582" t="s">
        <v>748</v>
      </c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99" t="s">
        <v>216</v>
      </c>
      <c r="AH5" s="586" t="s">
        <v>765</v>
      </c>
      <c r="AI5" s="575" t="s">
        <v>8</v>
      </c>
      <c r="AJ5" s="578" t="s">
        <v>10</v>
      </c>
      <c r="AK5" s="572" t="s">
        <v>14</v>
      </c>
    </row>
    <row r="6" spans="1:47" ht="15.75" thickBot="1">
      <c r="A6" s="573"/>
      <c r="B6" s="581"/>
      <c r="C6" s="592"/>
      <c r="D6" s="593"/>
      <c r="E6" s="594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98"/>
      <c r="S6" s="573"/>
      <c r="T6" s="584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600"/>
      <c r="AH6" s="587"/>
      <c r="AI6" s="576"/>
      <c r="AJ6" s="579"/>
      <c r="AK6" s="573"/>
    </row>
    <row r="7" spans="1:47" ht="15.75" customHeight="1" thickBot="1">
      <c r="A7" s="573"/>
      <c r="B7" s="581"/>
      <c r="C7" s="371" t="s">
        <v>697</v>
      </c>
      <c r="D7" s="361" t="s">
        <v>698</v>
      </c>
      <c r="E7" s="373" t="s">
        <v>701</v>
      </c>
      <c r="F7" s="370" t="s">
        <v>766</v>
      </c>
      <c r="G7" s="359">
        <v>12</v>
      </c>
      <c r="H7" s="348">
        <v>31</v>
      </c>
      <c r="I7" s="348">
        <v>43</v>
      </c>
      <c r="J7" s="348">
        <v>51</v>
      </c>
      <c r="K7" s="348">
        <v>52</v>
      </c>
      <c r="L7" s="348">
        <v>559</v>
      </c>
      <c r="M7" s="348">
        <v>561</v>
      </c>
      <c r="N7" s="348">
        <v>563</v>
      </c>
      <c r="O7" s="348">
        <v>61</v>
      </c>
      <c r="P7" s="348">
        <v>63</v>
      </c>
      <c r="Q7" s="348">
        <v>71</v>
      </c>
      <c r="R7" s="349">
        <v>81</v>
      </c>
      <c r="S7" s="573"/>
      <c r="T7" s="347">
        <v>11</v>
      </c>
      <c r="U7" s="348">
        <v>12</v>
      </c>
      <c r="V7" s="348">
        <v>31</v>
      </c>
      <c r="W7" s="348">
        <v>43</v>
      </c>
      <c r="X7" s="348">
        <v>51</v>
      </c>
      <c r="Y7" s="348">
        <v>52</v>
      </c>
      <c r="Z7" s="348">
        <v>559</v>
      </c>
      <c r="AA7" s="348">
        <v>561</v>
      </c>
      <c r="AB7" s="348">
        <v>563</v>
      </c>
      <c r="AC7" s="348">
        <v>61</v>
      </c>
      <c r="AD7" s="348">
        <v>63</v>
      </c>
      <c r="AE7" s="348">
        <v>71</v>
      </c>
      <c r="AF7" s="350">
        <v>81</v>
      </c>
      <c r="AG7" s="600"/>
      <c r="AH7" s="587"/>
      <c r="AI7" s="576"/>
      <c r="AJ7" s="579"/>
      <c r="AK7" s="573"/>
    </row>
    <row r="8" spans="1:47" ht="78.75" customHeight="1" thickBot="1">
      <c r="A8" s="574"/>
      <c r="B8" s="598"/>
      <c r="C8" s="372" t="s">
        <v>762</v>
      </c>
      <c r="D8" s="368" t="s">
        <v>763</v>
      </c>
      <c r="E8" s="368" t="s">
        <v>764</v>
      </c>
      <c r="F8" s="369" t="s">
        <v>749</v>
      </c>
      <c r="G8" s="360" t="s">
        <v>750</v>
      </c>
      <c r="H8" s="351" t="s">
        <v>753</v>
      </c>
      <c r="I8" s="351" t="s">
        <v>751</v>
      </c>
      <c r="J8" s="351" t="s">
        <v>754</v>
      </c>
      <c r="K8" s="351" t="s">
        <v>755</v>
      </c>
      <c r="L8" s="351" t="s">
        <v>756</v>
      </c>
      <c r="M8" s="351" t="s">
        <v>39</v>
      </c>
      <c r="N8" s="351" t="s">
        <v>757</v>
      </c>
      <c r="O8" s="351" t="s">
        <v>758</v>
      </c>
      <c r="P8" s="351" t="s">
        <v>752</v>
      </c>
      <c r="Q8" s="352" t="s">
        <v>759</v>
      </c>
      <c r="R8" s="353" t="s">
        <v>760</v>
      </c>
      <c r="S8" s="581"/>
      <c r="T8" s="354" t="s">
        <v>749</v>
      </c>
      <c r="U8" s="355" t="s">
        <v>750</v>
      </c>
      <c r="V8" s="356" t="s">
        <v>753</v>
      </c>
      <c r="W8" s="356" t="s">
        <v>751</v>
      </c>
      <c r="X8" s="356" t="s">
        <v>754</v>
      </c>
      <c r="Y8" s="356" t="s">
        <v>755</v>
      </c>
      <c r="Z8" s="356" t="s">
        <v>756</v>
      </c>
      <c r="AA8" s="356" t="s">
        <v>39</v>
      </c>
      <c r="AB8" s="356" t="s">
        <v>757</v>
      </c>
      <c r="AC8" s="356" t="s">
        <v>758</v>
      </c>
      <c r="AD8" s="356" t="s">
        <v>752</v>
      </c>
      <c r="AE8" s="357" t="s">
        <v>759</v>
      </c>
      <c r="AF8" s="358" t="s">
        <v>760</v>
      </c>
      <c r="AG8" s="601"/>
      <c r="AH8" s="588"/>
      <c r="AI8" s="577"/>
      <c r="AJ8" s="580"/>
      <c r="AK8" s="574"/>
    </row>
    <row r="9" spans="1:47" ht="36">
      <c r="A9" s="329" t="s">
        <v>172</v>
      </c>
      <c r="B9" s="332" t="s">
        <v>189</v>
      </c>
      <c r="C9" s="374">
        <v>27540189</v>
      </c>
      <c r="D9" s="375">
        <v>2798610.25</v>
      </c>
      <c r="E9" s="376">
        <v>20850</v>
      </c>
      <c r="F9" s="438">
        <f>C9+D9+E9</f>
        <v>30359649.25</v>
      </c>
      <c r="G9" s="362">
        <v>0</v>
      </c>
      <c r="H9" s="344">
        <v>200000</v>
      </c>
      <c r="I9" s="344">
        <v>2000000</v>
      </c>
      <c r="J9" s="344">
        <v>0</v>
      </c>
      <c r="K9" s="344">
        <v>70000</v>
      </c>
      <c r="L9" s="344">
        <v>0</v>
      </c>
      <c r="M9" s="344">
        <v>0</v>
      </c>
      <c r="N9" s="344">
        <v>0</v>
      </c>
      <c r="O9" s="344">
        <v>20000</v>
      </c>
      <c r="P9" s="344">
        <v>0</v>
      </c>
      <c r="Q9" s="375">
        <v>0</v>
      </c>
      <c r="R9" s="376">
        <v>0</v>
      </c>
      <c r="S9" s="432">
        <f>SUM(F9:R9)</f>
        <v>32649649.25</v>
      </c>
      <c r="T9" s="377">
        <v>30359649.25</v>
      </c>
      <c r="U9" s="378">
        <v>0</v>
      </c>
      <c r="V9" s="378">
        <v>200000</v>
      </c>
      <c r="W9" s="378">
        <v>2000000</v>
      </c>
      <c r="X9" s="378">
        <v>0</v>
      </c>
      <c r="Y9" s="378">
        <v>70000</v>
      </c>
      <c r="Z9" s="378">
        <v>0</v>
      </c>
      <c r="AA9" s="378">
        <v>0</v>
      </c>
      <c r="AB9" s="378">
        <v>0</v>
      </c>
      <c r="AC9" s="378">
        <v>20000</v>
      </c>
      <c r="AD9" s="378">
        <v>0</v>
      </c>
      <c r="AE9" s="378">
        <v>0</v>
      </c>
      <c r="AF9" s="379">
        <v>0</v>
      </c>
      <c r="AG9" s="429">
        <f>SUM(T9:AF9)</f>
        <v>32649649.25</v>
      </c>
      <c r="AH9" s="380">
        <f>AG9-S9</f>
        <v>0</v>
      </c>
      <c r="AI9" s="381">
        <v>0</v>
      </c>
      <c r="AJ9" s="435">
        <v>0</v>
      </c>
      <c r="AK9" s="380">
        <f>AH9+AI9+AJ9</f>
        <v>0</v>
      </c>
      <c r="AL9" s="331"/>
      <c r="AM9" s="331"/>
      <c r="AN9" s="331"/>
      <c r="AO9" s="331"/>
      <c r="AP9" s="331"/>
      <c r="AQ9" s="331"/>
      <c r="AR9" s="331"/>
      <c r="AS9" s="331"/>
      <c r="AT9" s="331"/>
      <c r="AU9" s="331"/>
    </row>
    <row r="10" spans="1:47">
      <c r="A10" s="315" t="s">
        <v>173</v>
      </c>
      <c r="B10" s="333" t="s">
        <v>190</v>
      </c>
      <c r="C10" s="382">
        <v>20809496</v>
      </c>
      <c r="D10" s="383">
        <v>2853862.83</v>
      </c>
      <c r="E10" s="384">
        <v>0</v>
      </c>
      <c r="F10" s="439">
        <f t="shared" ref="F10:F30" si="0">C10+D10+E10</f>
        <v>23663358.829999998</v>
      </c>
      <c r="G10" s="363">
        <v>0</v>
      </c>
      <c r="H10" s="340">
        <v>2659345</v>
      </c>
      <c r="I10" s="340">
        <v>14430155</v>
      </c>
      <c r="J10" s="340">
        <v>200000</v>
      </c>
      <c r="K10" s="340">
        <v>118100</v>
      </c>
      <c r="L10" s="340"/>
      <c r="M10" s="340"/>
      <c r="N10" s="340"/>
      <c r="O10" s="340">
        <v>20000</v>
      </c>
      <c r="P10" s="340"/>
      <c r="Q10" s="383">
        <v>7600</v>
      </c>
      <c r="R10" s="384">
        <v>0</v>
      </c>
      <c r="S10" s="433">
        <f t="shared" ref="S10:S30" si="1">SUM(F10:R10)</f>
        <v>41098558.829999998</v>
      </c>
      <c r="T10" s="385">
        <v>23663358.829999998</v>
      </c>
      <c r="U10" s="386">
        <v>0</v>
      </c>
      <c r="V10" s="386">
        <v>2644000</v>
      </c>
      <c r="W10" s="386">
        <v>9685300</v>
      </c>
      <c r="X10" s="386">
        <v>200000</v>
      </c>
      <c r="Y10" s="386">
        <v>118100</v>
      </c>
      <c r="Z10" s="386"/>
      <c r="AA10" s="386"/>
      <c r="AB10" s="386"/>
      <c r="AC10" s="386">
        <v>20000</v>
      </c>
      <c r="AD10" s="386">
        <v>0</v>
      </c>
      <c r="AE10" s="386">
        <v>7600</v>
      </c>
      <c r="AF10" s="387"/>
      <c r="AG10" s="429">
        <f t="shared" ref="AG10:AG30" si="2">SUM(T10:AF10)</f>
        <v>36338358.829999998</v>
      </c>
      <c r="AH10" s="380">
        <f t="shared" ref="AH10:AH30" si="3">AG10-S10</f>
        <v>-4760200</v>
      </c>
      <c r="AI10" s="388">
        <v>37578000</v>
      </c>
      <c r="AJ10" s="387">
        <v>-32817800</v>
      </c>
      <c r="AK10" s="380">
        <f t="shared" ref="AK10:AK30" si="4">AH10+AI10+AJ10</f>
        <v>0</v>
      </c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</row>
    <row r="11" spans="1:47" s="345" customFormat="1" ht="36">
      <c r="A11" s="410" t="s">
        <v>174</v>
      </c>
      <c r="B11" s="411" t="s">
        <v>191</v>
      </c>
      <c r="C11" s="412">
        <v>42884777.659999996</v>
      </c>
      <c r="D11" s="413">
        <v>3795848.55</v>
      </c>
      <c r="E11" s="414">
        <v>0</v>
      </c>
      <c r="F11" s="440">
        <f t="shared" si="0"/>
        <v>46680626.209999993</v>
      </c>
      <c r="G11" s="426">
        <v>426684.26</v>
      </c>
      <c r="H11" s="427">
        <v>2558325</v>
      </c>
      <c r="I11" s="427">
        <v>3500000</v>
      </c>
      <c r="J11" s="427">
        <v>0</v>
      </c>
      <c r="K11" s="427">
        <v>9462930.0600000005</v>
      </c>
      <c r="L11" s="427">
        <v>0</v>
      </c>
      <c r="M11" s="427">
        <v>964274.85</v>
      </c>
      <c r="N11" s="427">
        <v>1453602.62</v>
      </c>
      <c r="O11" s="427">
        <v>312125</v>
      </c>
      <c r="P11" s="427">
        <v>0</v>
      </c>
      <c r="Q11" s="413">
        <v>0</v>
      </c>
      <c r="R11" s="414">
        <v>0</v>
      </c>
      <c r="S11" s="433">
        <f t="shared" si="1"/>
        <v>65358567.999999993</v>
      </c>
      <c r="T11" s="415">
        <v>46680626.210000001</v>
      </c>
      <c r="U11" s="416">
        <v>426684.26</v>
      </c>
      <c r="V11" s="416">
        <v>2558325</v>
      </c>
      <c r="W11" s="416">
        <v>3500000</v>
      </c>
      <c r="X11" s="416">
        <v>0</v>
      </c>
      <c r="Y11" s="416">
        <v>9462930.0600000005</v>
      </c>
      <c r="Z11" s="416">
        <v>0</v>
      </c>
      <c r="AA11" s="416">
        <v>964274.85</v>
      </c>
      <c r="AB11" s="416">
        <v>1453602.62</v>
      </c>
      <c r="AC11" s="416">
        <v>312125</v>
      </c>
      <c r="AD11" s="416">
        <v>0</v>
      </c>
      <c r="AE11" s="416">
        <v>0</v>
      </c>
      <c r="AF11" s="417"/>
      <c r="AG11" s="429">
        <f t="shared" si="2"/>
        <v>65358568</v>
      </c>
      <c r="AH11" s="418">
        <f t="shared" si="3"/>
        <v>0</v>
      </c>
      <c r="AI11" s="419">
        <v>3600000</v>
      </c>
      <c r="AJ11" s="417">
        <v>-3600000</v>
      </c>
      <c r="AK11" s="418">
        <f t="shared" si="4"/>
        <v>0</v>
      </c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</row>
    <row r="12" spans="1:47" ht="60">
      <c r="A12" s="315" t="s">
        <v>175</v>
      </c>
      <c r="B12" s="334" t="s">
        <v>192</v>
      </c>
      <c r="C12" s="389">
        <v>25198999.800000001</v>
      </c>
      <c r="D12" s="390">
        <v>3870847.31</v>
      </c>
      <c r="E12" s="391">
        <v>0</v>
      </c>
      <c r="F12" s="439">
        <f t="shared" si="0"/>
        <v>29069847.109999999</v>
      </c>
      <c r="G12" s="364">
        <v>251235</v>
      </c>
      <c r="H12" s="339">
        <v>1045000</v>
      </c>
      <c r="I12" s="339">
        <v>7000000</v>
      </c>
      <c r="J12" s="339">
        <v>3794646</v>
      </c>
      <c r="K12" s="339">
        <v>916795</v>
      </c>
      <c r="L12" s="339">
        <v>0</v>
      </c>
      <c r="M12" s="339">
        <v>1423665</v>
      </c>
      <c r="N12" s="339">
        <v>0</v>
      </c>
      <c r="O12" s="339">
        <v>773304</v>
      </c>
      <c r="P12" s="339">
        <v>0</v>
      </c>
      <c r="Q12" s="390">
        <v>1000</v>
      </c>
      <c r="R12" s="391">
        <v>0</v>
      </c>
      <c r="S12" s="433">
        <f t="shared" si="1"/>
        <v>44275492.109999999</v>
      </c>
      <c r="T12" s="385">
        <v>29069847.109999999</v>
      </c>
      <c r="U12" s="386">
        <v>251235</v>
      </c>
      <c r="V12" s="386">
        <v>1045000</v>
      </c>
      <c r="W12" s="386">
        <v>7000000</v>
      </c>
      <c r="X12" s="386">
        <v>2744646</v>
      </c>
      <c r="Y12" s="386">
        <v>746795</v>
      </c>
      <c r="Z12" s="386">
        <v>0</v>
      </c>
      <c r="AA12" s="386">
        <v>1423665</v>
      </c>
      <c r="AB12" s="386">
        <v>0</v>
      </c>
      <c r="AC12" s="386">
        <v>773304</v>
      </c>
      <c r="AD12" s="386">
        <v>0</v>
      </c>
      <c r="AE12" s="386">
        <v>1000</v>
      </c>
      <c r="AF12" s="387">
        <v>0</v>
      </c>
      <c r="AG12" s="429">
        <f t="shared" si="2"/>
        <v>43055492.109999999</v>
      </c>
      <c r="AH12" s="380">
        <f t="shared" si="3"/>
        <v>-1220000</v>
      </c>
      <c r="AI12" s="388">
        <v>3370000</v>
      </c>
      <c r="AJ12" s="387">
        <v>-2150000</v>
      </c>
      <c r="AK12" s="380">
        <f t="shared" si="4"/>
        <v>0</v>
      </c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</row>
    <row r="13" spans="1:47">
      <c r="A13" s="315" t="s">
        <v>176</v>
      </c>
      <c r="B13" s="335" t="s">
        <v>193</v>
      </c>
      <c r="C13" s="392">
        <v>36913272.030000001</v>
      </c>
      <c r="D13" s="393">
        <v>3357512.5</v>
      </c>
      <c r="E13" s="394">
        <v>23900</v>
      </c>
      <c r="F13" s="439">
        <f t="shared" si="0"/>
        <v>40294684.530000001</v>
      </c>
      <c r="G13" s="365">
        <v>0</v>
      </c>
      <c r="H13" s="341">
        <v>2712700</v>
      </c>
      <c r="I13" s="341">
        <v>2342400</v>
      </c>
      <c r="J13" s="341">
        <v>0</v>
      </c>
      <c r="K13" s="341">
        <v>450000</v>
      </c>
      <c r="L13" s="341">
        <v>0</v>
      </c>
      <c r="M13" s="341">
        <v>0</v>
      </c>
      <c r="N13" s="341">
        <v>0</v>
      </c>
      <c r="O13" s="341">
        <v>0</v>
      </c>
      <c r="P13" s="341">
        <v>0</v>
      </c>
      <c r="Q13" s="393">
        <v>8000</v>
      </c>
      <c r="R13" s="394">
        <v>0</v>
      </c>
      <c r="S13" s="433">
        <f t="shared" si="1"/>
        <v>45807784.530000001</v>
      </c>
      <c r="T13" s="385">
        <v>40294684.530000001</v>
      </c>
      <c r="U13" s="386">
        <v>0</v>
      </c>
      <c r="V13" s="386">
        <v>2967000</v>
      </c>
      <c r="W13" s="386">
        <v>2368900</v>
      </c>
      <c r="X13" s="386">
        <v>0</v>
      </c>
      <c r="Y13" s="386">
        <v>450000</v>
      </c>
      <c r="Z13" s="386">
        <v>0</v>
      </c>
      <c r="AA13" s="386">
        <v>0</v>
      </c>
      <c r="AB13" s="386">
        <v>0</v>
      </c>
      <c r="AC13" s="386">
        <v>0</v>
      </c>
      <c r="AD13" s="386">
        <v>0</v>
      </c>
      <c r="AE13" s="386">
        <v>8000</v>
      </c>
      <c r="AF13" s="387">
        <v>0</v>
      </c>
      <c r="AG13" s="429">
        <f t="shared" si="2"/>
        <v>46088584.530000001</v>
      </c>
      <c r="AH13" s="380">
        <f t="shared" si="3"/>
        <v>280800</v>
      </c>
      <c r="AI13" s="388">
        <v>470000</v>
      </c>
      <c r="AJ13" s="387">
        <v>-750800</v>
      </c>
      <c r="AK13" s="380">
        <f t="shared" si="4"/>
        <v>0</v>
      </c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</row>
    <row r="14" spans="1:47" ht="36">
      <c r="A14" s="315" t="s">
        <v>177</v>
      </c>
      <c r="B14" s="336" t="s">
        <v>194</v>
      </c>
      <c r="C14" s="395">
        <v>14001109.130000001</v>
      </c>
      <c r="D14" s="396">
        <v>1883222.39</v>
      </c>
      <c r="E14" s="397">
        <v>0</v>
      </c>
      <c r="F14" s="439">
        <f t="shared" si="0"/>
        <v>15884331.520000001</v>
      </c>
      <c r="G14" s="366">
        <v>0</v>
      </c>
      <c r="H14" s="342">
        <v>101000</v>
      </c>
      <c r="I14" s="342">
        <v>12783829</v>
      </c>
      <c r="J14" s="342">
        <v>0</v>
      </c>
      <c r="K14" s="342">
        <v>100000</v>
      </c>
      <c r="L14" s="342">
        <v>0</v>
      </c>
      <c r="M14" s="342">
        <v>0</v>
      </c>
      <c r="N14" s="342">
        <v>0</v>
      </c>
      <c r="O14" s="342">
        <v>395000</v>
      </c>
      <c r="P14" s="342">
        <v>0</v>
      </c>
      <c r="Q14" s="396">
        <v>0</v>
      </c>
      <c r="R14" s="397">
        <v>0</v>
      </c>
      <c r="S14" s="433">
        <f t="shared" si="1"/>
        <v>29264160.520000003</v>
      </c>
      <c r="T14" s="385">
        <v>15884331.52</v>
      </c>
      <c r="U14" s="386">
        <v>0</v>
      </c>
      <c r="V14" s="386">
        <v>101000</v>
      </c>
      <c r="W14" s="386">
        <v>13400000</v>
      </c>
      <c r="X14" s="386">
        <v>0</v>
      </c>
      <c r="Y14" s="386">
        <v>100000</v>
      </c>
      <c r="Z14" s="386">
        <v>0</v>
      </c>
      <c r="AA14" s="386">
        <v>0</v>
      </c>
      <c r="AB14" s="386">
        <v>0</v>
      </c>
      <c r="AC14" s="386">
        <v>395000</v>
      </c>
      <c r="AD14" s="386">
        <v>0</v>
      </c>
      <c r="AE14" s="386">
        <v>0</v>
      </c>
      <c r="AF14" s="387">
        <v>0</v>
      </c>
      <c r="AG14" s="429">
        <f t="shared" si="2"/>
        <v>29880331.52</v>
      </c>
      <c r="AH14" s="380">
        <f t="shared" si="3"/>
        <v>616170.99999999627</v>
      </c>
      <c r="AI14" s="388">
        <v>2385321</v>
      </c>
      <c r="AJ14" s="387">
        <v>-3001492</v>
      </c>
      <c r="AK14" s="380">
        <f t="shared" si="4"/>
        <v>-3.7252902984619141E-9</v>
      </c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</row>
    <row r="15" spans="1:47" ht="48">
      <c r="A15" s="315" t="s">
        <v>178</v>
      </c>
      <c r="B15" s="334" t="s">
        <v>195</v>
      </c>
      <c r="C15" s="389">
        <v>18692587</v>
      </c>
      <c r="D15" s="390">
        <v>2012677.82</v>
      </c>
      <c r="E15" s="391">
        <v>42450</v>
      </c>
      <c r="F15" s="439">
        <f t="shared" si="0"/>
        <v>20747714.82</v>
      </c>
      <c r="G15" s="364">
        <v>0</v>
      </c>
      <c r="H15" s="364">
        <v>690642</v>
      </c>
      <c r="I15" s="339">
        <v>2643669</v>
      </c>
      <c r="J15" s="339">
        <v>0</v>
      </c>
      <c r="K15" s="339">
        <v>85000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90">
        <v>0</v>
      </c>
      <c r="R15" s="391">
        <v>0</v>
      </c>
      <c r="S15" s="433">
        <f t="shared" si="1"/>
        <v>24167025.82</v>
      </c>
      <c r="T15" s="385">
        <v>20747714.82</v>
      </c>
      <c r="U15" s="386">
        <v>0</v>
      </c>
      <c r="V15" s="386">
        <v>716642</v>
      </c>
      <c r="W15" s="386">
        <v>2693669</v>
      </c>
      <c r="X15" s="386">
        <v>0</v>
      </c>
      <c r="Y15" s="386">
        <v>85000</v>
      </c>
      <c r="Z15" s="386">
        <v>0</v>
      </c>
      <c r="AA15" s="386">
        <v>0</v>
      </c>
      <c r="AB15" s="386">
        <v>0</v>
      </c>
      <c r="AC15" s="386">
        <v>0</v>
      </c>
      <c r="AD15" s="386">
        <v>0</v>
      </c>
      <c r="AE15" s="386">
        <v>0</v>
      </c>
      <c r="AF15" s="387">
        <v>0</v>
      </c>
      <c r="AG15" s="429">
        <f t="shared" si="2"/>
        <v>24243025.82</v>
      </c>
      <c r="AH15" s="380">
        <f t="shared" si="3"/>
        <v>76000</v>
      </c>
      <c r="AI15" s="388">
        <v>45000</v>
      </c>
      <c r="AJ15" s="387">
        <v>-121000</v>
      </c>
      <c r="AK15" s="380">
        <f t="shared" si="4"/>
        <v>0</v>
      </c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</row>
    <row r="16" spans="1:47" ht="36">
      <c r="A16" s="315" t="s">
        <v>179</v>
      </c>
      <c r="B16" s="336" t="s">
        <v>196</v>
      </c>
      <c r="C16" s="395">
        <v>17246246.219999999</v>
      </c>
      <c r="D16" s="396">
        <v>2745183</v>
      </c>
      <c r="E16" s="397">
        <v>0</v>
      </c>
      <c r="F16" s="439">
        <f t="shared" si="0"/>
        <v>19991429.219999999</v>
      </c>
      <c r="G16" s="366">
        <v>148800</v>
      </c>
      <c r="H16" s="342">
        <v>1197500</v>
      </c>
      <c r="I16" s="342">
        <v>3428750</v>
      </c>
      <c r="J16" s="342">
        <v>61250</v>
      </c>
      <c r="K16" s="342">
        <v>268944</v>
      </c>
      <c r="L16" s="342">
        <v>0</v>
      </c>
      <c r="M16" s="342">
        <v>843200</v>
      </c>
      <c r="N16" s="342">
        <v>0</v>
      </c>
      <c r="O16" s="342">
        <v>0</v>
      </c>
      <c r="P16" s="342">
        <v>0</v>
      </c>
      <c r="Q16" s="396">
        <v>0</v>
      </c>
      <c r="R16" s="397"/>
      <c r="S16" s="433">
        <f t="shared" si="1"/>
        <v>25939873.219999999</v>
      </c>
      <c r="T16" s="385">
        <v>19991429.219999999</v>
      </c>
      <c r="U16" s="386">
        <v>148800</v>
      </c>
      <c r="V16" s="386">
        <v>1020700</v>
      </c>
      <c r="W16" s="386">
        <v>3428750</v>
      </c>
      <c r="X16" s="386">
        <v>61250</v>
      </c>
      <c r="Y16" s="386">
        <v>268944</v>
      </c>
      <c r="Z16" s="386">
        <v>0</v>
      </c>
      <c r="AA16" s="386">
        <v>843200</v>
      </c>
      <c r="AB16" s="386">
        <v>0</v>
      </c>
      <c r="AC16" s="386">
        <v>0</v>
      </c>
      <c r="AD16" s="386">
        <v>0</v>
      </c>
      <c r="AE16" s="386">
        <v>0</v>
      </c>
      <c r="AF16" s="387">
        <v>0</v>
      </c>
      <c r="AG16" s="429">
        <f t="shared" si="2"/>
        <v>25763073.219999999</v>
      </c>
      <c r="AH16" s="380">
        <f t="shared" si="3"/>
        <v>-176800</v>
      </c>
      <c r="AI16" s="388">
        <v>4800000</v>
      </c>
      <c r="AJ16" s="387">
        <v>-4623200</v>
      </c>
      <c r="AK16" s="380">
        <f t="shared" si="4"/>
        <v>0</v>
      </c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</row>
    <row r="17" spans="1:47" ht="36.75">
      <c r="A17" s="315" t="s">
        <v>180</v>
      </c>
      <c r="B17" s="337" t="s">
        <v>197</v>
      </c>
      <c r="C17" s="398">
        <v>7662054.5199999996</v>
      </c>
      <c r="D17" s="399">
        <v>508131.05</v>
      </c>
      <c r="E17" s="400">
        <v>0</v>
      </c>
      <c r="F17" s="439">
        <f t="shared" si="0"/>
        <v>8170185.5699999994</v>
      </c>
      <c r="G17" s="367">
        <v>0</v>
      </c>
      <c r="H17" s="343">
        <v>60000</v>
      </c>
      <c r="I17" s="343">
        <v>752000</v>
      </c>
      <c r="J17" s="343">
        <v>0</v>
      </c>
      <c r="K17" s="343">
        <v>40000</v>
      </c>
      <c r="L17" s="343">
        <v>0</v>
      </c>
      <c r="M17" s="343">
        <v>0</v>
      </c>
      <c r="N17" s="343">
        <v>0</v>
      </c>
      <c r="O17" s="343">
        <v>0</v>
      </c>
      <c r="P17" s="343">
        <v>0</v>
      </c>
      <c r="Q17" s="399">
        <v>0</v>
      </c>
      <c r="R17" s="400">
        <v>0</v>
      </c>
      <c r="S17" s="433">
        <f t="shared" si="1"/>
        <v>9022185.5700000003</v>
      </c>
      <c r="T17" s="385">
        <v>8170185.5700000003</v>
      </c>
      <c r="U17" s="386">
        <v>0</v>
      </c>
      <c r="V17" s="386">
        <v>60000</v>
      </c>
      <c r="W17" s="386">
        <v>502000</v>
      </c>
      <c r="X17" s="386">
        <v>0</v>
      </c>
      <c r="Y17" s="386">
        <v>40000</v>
      </c>
      <c r="Z17" s="386">
        <v>0</v>
      </c>
      <c r="AA17" s="386">
        <v>0</v>
      </c>
      <c r="AB17" s="386">
        <v>0</v>
      </c>
      <c r="AC17" s="386">
        <v>0</v>
      </c>
      <c r="AD17" s="386">
        <v>0</v>
      </c>
      <c r="AE17" s="386">
        <v>0</v>
      </c>
      <c r="AF17" s="387">
        <v>0</v>
      </c>
      <c r="AG17" s="429">
        <f t="shared" si="2"/>
        <v>8772185.5700000003</v>
      </c>
      <c r="AH17" s="380">
        <f t="shared" si="3"/>
        <v>-250000</v>
      </c>
      <c r="AI17" s="388">
        <v>1200000</v>
      </c>
      <c r="AJ17" s="387">
        <v>-950000</v>
      </c>
      <c r="AK17" s="380">
        <f t="shared" si="4"/>
        <v>0</v>
      </c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</row>
    <row r="18" spans="1:47">
      <c r="A18" s="315" t="s">
        <v>181</v>
      </c>
      <c r="B18" s="337" t="s">
        <v>198</v>
      </c>
      <c r="C18" s="398">
        <v>18893101.789999999</v>
      </c>
      <c r="D18" s="399">
        <v>2414669.29</v>
      </c>
      <c r="E18" s="400">
        <v>0</v>
      </c>
      <c r="F18" s="439">
        <f t="shared" si="0"/>
        <v>21307771.079999998</v>
      </c>
      <c r="G18" s="367">
        <v>105000</v>
      </c>
      <c r="H18" s="367">
        <v>802000</v>
      </c>
      <c r="I18" s="343">
        <v>7083600</v>
      </c>
      <c r="J18" s="343">
        <v>0</v>
      </c>
      <c r="K18" s="343">
        <v>120000</v>
      </c>
      <c r="L18" s="343">
        <v>0</v>
      </c>
      <c r="M18" s="343">
        <v>595000</v>
      </c>
      <c r="N18" s="343">
        <v>0</v>
      </c>
      <c r="O18" s="343">
        <v>201270</v>
      </c>
      <c r="P18" s="343">
        <v>0</v>
      </c>
      <c r="Q18" s="399">
        <v>0</v>
      </c>
      <c r="R18" s="400">
        <v>0</v>
      </c>
      <c r="S18" s="433">
        <f t="shared" si="1"/>
        <v>30214641.079999998</v>
      </c>
      <c r="T18" s="385">
        <v>21307771.079999998</v>
      </c>
      <c r="U18" s="386">
        <v>105000</v>
      </c>
      <c r="V18" s="386">
        <v>802000</v>
      </c>
      <c r="W18" s="386">
        <v>6628600</v>
      </c>
      <c r="X18" s="386">
        <v>0</v>
      </c>
      <c r="Y18" s="386">
        <v>120000</v>
      </c>
      <c r="Z18" s="386">
        <v>0</v>
      </c>
      <c r="AA18" s="386">
        <v>595000</v>
      </c>
      <c r="AB18" s="386">
        <v>0</v>
      </c>
      <c r="AC18" s="386">
        <v>50000</v>
      </c>
      <c r="AD18" s="386">
        <v>0</v>
      </c>
      <c r="AE18" s="386">
        <v>0</v>
      </c>
      <c r="AF18" s="387">
        <v>0</v>
      </c>
      <c r="AG18" s="429">
        <f t="shared" si="2"/>
        <v>29608371.079999998</v>
      </c>
      <c r="AH18" s="380">
        <f t="shared" si="3"/>
        <v>-606270</v>
      </c>
      <c r="AI18" s="388">
        <v>1216270</v>
      </c>
      <c r="AJ18" s="387">
        <v>-610000</v>
      </c>
      <c r="AK18" s="380">
        <f t="shared" si="4"/>
        <v>0</v>
      </c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</row>
    <row r="19" spans="1:47" s="489" customFormat="1">
      <c r="A19" s="449" t="s">
        <v>182</v>
      </c>
      <c r="B19" s="474" t="s">
        <v>199</v>
      </c>
      <c r="C19" s="475">
        <v>15845888.52</v>
      </c>
      <c r="D19" s="476">
        <v>1411559.07</v>
      </c>
      <c r="E19" s="477">
        <v>3800</v>
      </c>
      <c r="F19" s="478">
        <f t="shared" si="0"/>
        <v>17261247.59</v>
      </c>
      <c r="G19" s="479">
        <v>0</v>
      </c>
      <c r="H19" s="480">
        <v>351300</v>
      </c>
      <c r="I19" s="480">
        <v>17055781</v>
      </c>
      <c r="J19" s="480">
        <v>338300</v>
      </c>
      <c r="K19" s="480">
        <v>168200</v>
      </c>
      <c r="L19" s="480">
        <v>0</v>
      </c>
      <c r="M19" s="480">
        <v>0</v>
      </c>
      <c r="N19" s="480">
        <v>0</v>
      </c>
      <c r="O19" s="480">
        <v>181400</v>
      </c>
      <c r="P19" s="480">
        <v>0</v>
      </c>
      <c r="Q19" s="476">
        <v>0</v>
      </c>
      <c r="R19" s="477">
        <v>0</v>
      </c>
      <c r="S19" s="481">
        <f t="shared" si="1"/>
        <v>35356228.590000004</v>
      </c>
      <c r="T19" s="482">
        <v>17261247.59</v>
      </c>
      <c r="U19" s="483">
        <v>0</v>
      </c>
      <c r="V19" s="483">
        <v>315000</v>
      </c>
      <c r="W19" s="483">
        <v>13140000</v>
      </c>
      <c r="X19" s="483">
        <v>133300</v>
      </c>
      <c r="Y19" s="483">
        <v>168200</v>
      </c>
      <c r="Z19" s="483">
        <v>0</v>
      </c>
      <c r="AA19" s="483">
        <v>0</v>
      </c>
      <c r="AB19" s="483">
        <v>0</v>
      </c>
      <c r="AC19" s="483">
        <v>181400</v>
      </c>
      <c r="AD19" s="483">
        <v>0</v>
      </c>
      <c r="AE19" s="483">
        <v>3000</v>
      </c>
      <c r="AF19" s="484">
        <v>0</v>
      </c>
      <c r="AG19" s="485">
        <f t="shared" si="2"/>
        <v>31202147.59</v>
      </c>
      <c r="AH19" s="486">
        <f t="shared" si="3"/>
        <v>-4154081.0000000037</v>
      </c>
      <c r="AI19" s="487">
        <v>17684200</v>
      </c>
      <c r="AJ19" s="484">
        <v>-13530119</v>
      </c>
      <c r="AK19" s="486">
        <f t="shared" si="4"/>
        <v>0</v>
      </c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</row>
    <row r="20" spans="1:47" ht="36.75">
      <c r="A20" s="315" t="s">
        <v>183</v>
      </c>
      <c r="B20" s="337" t="s">
        <v>200</v>
      </c>
      <c r="C20" s="398">
        <v>19055264.370000001</v>
      </c>
      <c r="D20" s="399">
        <v>2111638.5499999998</v>
      </c>
      <c r="E20" s="400">
        <v>0</v>
      </c>
      <c r="F20" s="439">
        <f t="shared" si="0"/>
        <v>21166902.920000002</v>
      </c>
      <c r="G20" s="367">
        <v>0</v>
      </c>
      <c r="H20" s="343">
        <v>1992551</v>
      </c>
      <c r="I20" s="343">
        <v>8834132</v>
      </c>
      <c r="J20" s="343">
        <v>0</v>
      </c>
      <c r="K20" s="343">
        <v>3620000</v>
      </c>
      <c r="L20" s="343">
        <v>0</v>
      </c>
      <c r="M20" s="343">
        <v>837880</v>
      </c>
      <c r="N20" s="343">
        <v>0</v>
      </c>
      <c r="O20" s="343">
        <v>1042711</v>
      </c>
      <c r="P20" s="343">
        <v>0</v>
      </c>
      <c r="Q20" s="399">
        <v>5000</v>
      </c>
      <c r="R20" s="400">
        <v>0</v>
      </c>
      <c r="S20" s="433">
        <f t="shared" si="1"/>
        <v>37499176.920000002</v>
      </c>
      <c r="T20" s="385">
        <v>21166902.920000002</v>
      </c>
      <c r="U20" s="386">
        <v>0</v>
      </c>
      <c r="V20" s="386">
        <v>902813</v>
      </c>
      <c r="W20" s="386">
        <v>3420815</v>
      </c>
      <c r="X20" s="386">
        <v>0</v>
      </c>
      <c r="Y20" s="386">
        <v>3620000</v>
      </c>
      <c r="Z20" s="386">
        <v>0</v>
      </c>
      <c r="AA20" s="386">
        <v>837880</v>
      </c>
      <c r="AB20" s="386">
        <v>0</v>
      </c>
      <c r="AC20" s="386">
        <v>1042711</v>
      </c>
      <c r="AD20" s="386">
        <v>0</v>
      </c>
      <c r="AE20" s="386">
        <v>5000</v>
      </c>
      <c r="AF20" s="387">
        <v>0</v>
      </c>
      <c r="AG20" s="429">
        <f t="shared" si="2"/>
        <v>30996121.920000002</v>
      </c>
      <c r="AH20" s="380">
        <f t="shared" si="3"/>
        <v>-6503055</v>
      </c>
      <c r="AI20" s="388">
        <v>6700550</v>
      </c>
      <c r="AJ20" s="387">
        <v>-197495</v>
      </c>
      <c r="AK20" s="380">
        <f t="shared" si="4"/>
        <v>0</v>
      </c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</row>
    <row r="21" spans="1:47" ht="22.5" customHeight="1">
      <c r="A21" s="315" t="s">
        <v>184</v>
      </c>
      <c r="B21" s="337" t="s">
        <v>201</v>
      </c>
      <c r="C21" s="398">
        <v>14398092.75</v>
      </c>
      <c r="D21" s="399">
        <v>1700767.02</v>
      </c>
      <c r="E21" s="400">
        <v>0</v>
      </c>
      <c r="F21" s="439">
        <f t="shared" si="0"/>
        <v>16098859.77</v>
      </c>
      <c r="G21" s="367">
        <v>0</v>
      </c>
      <c r="H21" s="343">
        <v>1115000</v>
      </c>
      <c r="I21" s="343">
        <v>4383500</v>
      </c>
      <c r="J21" s="343">
        <v>1667094</v>
      </c>
      <c r="K21" s="343">
        <v>60000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  <c r="Q21" s="399">
        <v>3000</v>
      </c>
      <c r="R21" s="400">
        <v>0</v>
      </c>
      <c r="S21" s="433">
        <f t="shared" si="1"/>
        <v>23327453.77</v>
      </c>
      <c r="T21" s="385">
        <v>16098859.77</v>
      </c>
      <c r="U21" s="386">
        <v>0</v>
      </c>
      <c r="V21" s="386">
        <v>535000</v>
      </c>
      <c r="W21" s="386">
        <v>3493500</v>
      </c>
      <c r="X21" s="386">
        <v>1667094</v>
      </c>
      <c r="Y21" s="386">
        <v>60000</v>
      </c>
      <c r="Z21" s="386">
        <v>0</v>
      </c>
      <c r="AA21" s="386">
        <v>0</v>
      </c>
      <c r="AB21" s="386">
        <v>0</v>
      </c>
      <c r="AC21" s="386">
        <v>0</v>
      </c>
      <c r="AD21" s="386">
        <v>0</v>
      </c>
      <c r="AE21" s="386">
        <v>3000</v>
      </c>
      <c r="AF21" s="387">
        <v>0</v>
      </c>
      <c r="AG21" s="429">
        <f t="shared" si="2"/>
        <v>21857453.77</v>
      </c>
      <c r="AH21" s="380">
        <f t="shared" si="3"/>
        <v>-1470000</v>
      </c>
      <c r="AI21" s="388">
        <v>15670000</v>
      </c>
      <c r="AJ21" s="387">
        <v>-14200000</v>
      </c>
      <c r="AK21" s="380">
        <f t="shared" si="4"/>
        <v>0</v>
      </c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</row>
    <row r="22" spans="1:47" s="345" customFormat="1">
      <c r="A22" s="410" t="s">
        <v>185</v>
      </c>
      <c r="B22" s="420" t="s">
        <v>202</v>
      </c>
      <c r="C22" s="421">
        <v>11858144</v>
      </c>
      <c r="D22" s="422">
        <v>1259520</v>
      </c>
      <c r="E22" s="423">
        <v>33860</v>
      </c>
      <c r="F22" s="440">
        <f t="shared" si="0"/>
        <v>13151524</v>
      </c>
      <c r="G22" s="424">
        <v>0</v>
      </c>
      <c r="H22" s="425">
        <v>482300</v>
      </c>
      <c r="I22" s="425">
        <v>800550</v>
      </c>
      <c r="J22" s="425">
        <v>0</v>
      </c>
      <c r="K22" s="425">
        <v>0</v>
      </c>
      <c r="L22" s="425">
        <v>0</v>
      </c>
      <c r="M22" s="425">
        <v>0</v>
      </c>
      <c r="N22" s="425">
        <v>0</v>
      </c>
      <c r="O22" s="425">
        <v>0</v>
      </c>
      <c r="P22" s="425">
        <v>0</v>
      </c>
      <c r="Q22" s="422">
        <v>0</v>
      </c>
      <c r="R22" s="422">
        <v>0</v>
      </c>
      <c r="S22" s="433">
        <f t="shared" si="1"/>
        <v>14434374</v>
      </c>
      <c r="T22" s="415">
        <v>13151524</v>
      </c>
      <c r="U22" s="416">
        <v>0</v>
      </c>
      <c r="V22" s="416">
        <v>493300</v>
      </c>
      <c r="W22" s="416">
        <v>825990</v>
      </c>
      <c r="X22" s="416">
        <v>0</v>
      </c>
      <c r="Y22" s="416">
        <v>0</v>
      </c>
      <c r="Z22" s="416">
        <v>0</v>
      </c>
      <c r="AA22" s="416">
        <v>0</v>
      </c>
      <c r="AB22" s="416">
        <v>0</v>
      </c>
      <c r="AC22" s="416">
        <v>0</v>
      </c>
      <c r="AD22" s="416">
        <v>0</v>
      </c>
      <c r="AE22" s="416">
        <v>0</v>
      </c>
      <c r="AF22" s="417">
        <v>0</v>
      </c>
      <c r="AG22" s="429">
        <f t="shared" si="2"/>
        <v>14470814</v>
      </c>
      <c r="AH22" s="418">
        <f t="shared" si="3"/>
        <v>36440</v>
      </c>
      <c r="AI22" s="419">
        <v>368900</v>
      </c>
      <c r="AJ22" s="417">
        <v>-405340</v>
      </c>
      <c r="AK22" s="418">
        <f t="shared" si="4"/>
        <v>0</v>
      </c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</row>
    <row r="23" spans="1:47" s="345" customFormat="1">
      <c r="A23" s="410" t="s">
        <v>186</v>
      </c>
      <c r="B23" s="420" t="s">
        <v>203</v>
      </c>
      <c r="C23" s="421">
        <v>5228619</v>
      </c>
      <c r="D23" s="422">
        <v>499609</v>
      </c>
      <c r="E23" s="423">
        <v>21660</v>
      </c>
      <c r="F23" s="440">
        <f t="shared" si="0"/>
        <v>5749888</v>
      </c>
      <c r="G23" s="424">
        <v>0</v>
      </c>
      <c r="H23" s="425">
        <v>100300</v>
      </c>
      <c r="I23" s="425">
        <v>200000</v>
      </c>
      <c r="J23" s="425">
        <v>0</v>
      </c>
      <c r="K23" s="425">
        <v>0</v>
      </c>
      <c r="L23" s="425">
        <v>0</v>
      </c>
      <c r="M23" s="425">
        <v>0</v>
      </c>
      <c r="N23" s="425">
        <v>0</v>
      </c>
      <c r="O23" s="425">
        <v>0</v>
      </c>
      <c r="P23" s="425">
        <v>0</v>
      </c>
      <c r="Q23" s="422">
        <v>0</v>
      </c>
      <c r="R23" s="422">
        <v>0</v>
      </c>
      <c r="S23" s="433">
        <f t="shared" si="1"/>
        <v>6050188</v>
      </c>
      <c r="T23" s="415">
        <v>5749888</v>
      </c>
      <c r="U23" s="416">
        <v>0</v>
      </c>
      <c r="V23" s="416">
        <v>100300</v>
      </c>
      <c r="W23" s="416">
        <v>200000</v>
      </c>
      <c r="X23" s="416">
        <v>0</v>
      </c>
      <c r="Y23" s="416">
        <v>0</v>
      </c>
      <c r="Z23" s="416">
        <v>0</v>
      </c>
      <c r="AA23" s="416">
        <v>0</v>
      </c>
      <c r="AB23" s="416">
        <v>0</v>
      </c>
      <c r="AC23" s="416">
        <v>0</v>
      </c>
      <c r="AD23" s="416">
        <v>0</v>
      </c>
      <c r="AE23" s="416">
        <v>0</v>
      </c>
      <c r="AF23" s="417">
        <v>0</v>
      </c>
      <c r="AG23" s="429">
        <f t="shared" si="2"/>
        <v>6050188</v>
      </c>
      <c r="AH23" s="418">
        <f t="shared" si="3"/>
        <v>0</v>
      </c>
      <c r="AI23" s="419">
        <v>0</v>
      </c>
      <c r="AJ23" s="417">
        <v>0</v>
      </c>
      <c r="AK23" s="418">
        <f t="shared" si="4"/>
        <v>0</v>
      </c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</row>
    <row r="24" spans="1:47">
      <c r="A24" s="315" t="s">
        <v>204</v>
      </c>
      <c r="B24" s="337" t="s">
        <v>205</v>
      </c>
      <c r="C24" s="398">
        <v>6326565</v>
      </c>
      <c r="D24" s="399">
        <v>746878</v>
      </c>
      <c r="E24" s="400">
        <v>2120</v>
      </c>
      <c r="F24" s="439">
        <f t="shared" si="0"/>
        <v>7075563</v>
      </c>
      <c r="G24" s="367">
        <v>0</v>
      </c>
      <c r="H24" s="343">
        <v>150</v>
      </c>
      <c r="I24" s="343">
        <v>723062</v>
      </c>
      <c r="J24" s="343">
        <v>0</v>
      </c>
      <c r="K24" s="343">
        <v>0</v>
      </c>
      <c r="L24" s="343">
        <v>0</v>
      </c>
      <c r="M24" s="343">
        <v>0</v>
      </c>
      <c r="N24" s="343">
        <v>0</v>
      </c>
      <c r="O24" s="343">
        <v>790873</v>
      </c>
      <c r="P24" s="343">
        <v>0</v>
      </c>
      <c r="Q24" s="399">
        <v>0</v>
      </c>
      <c r="R24" s="399">
        <v>0</v>
      </c>
      <c r="S24" s="433">
        <f t="shared" si="1"/>
        <v>8589648</v>
      </c>
      <c r="T24" s="385">
        <v>7075563</v>
      </c>
      <c r="U24" s="386">
        <v>0</v>
      </c>
      <c r="V24" s="386">
        <v>150</v>
      </c>
      <c r="W24" s="386">
        <v>874862</v>
      </c>
      <c r="X24" s="386">
        <v>0</v>
      </c>
      <c r="Y24" s="386">
        <v>0</v>
      </c>
      <c r="Z24" s="386">
        <v>0</v>
      </c>
      <c r="AA24" s="386">
        <v>0</v>
      </c>
      <c r="AB24" s="386">
        <v>0</v>
      </c>
      <c r="AC24" s="386">
        <v>790873</v>
      </c>
      <c r="AD24" s="386">
        <v>0</v>
      </c>
      <c r="AE24" s="386">
        <v>0</v>
      </c>
      <c r="AF24" s="387">
        <v>0</v>
      </c>
      <c r="AG24" s="429">
        <f t="shared" si="2"/>
        <v>8741448</v>
      </c>
      <c r="AH24" s="380">
        <f t="shared" si="3"/>
        <v>151800</v>
      </c>
      <c r="AI24" s="388">
        <v>222610</v>
      </c>
      <c r="AJ24" s="387">
        <v>-374410</v>
      </c>
      <c r="AK24" s="380">
        <f t="shared" si="4"/>
        <v>0</v>
      </c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</row>
    <row r="25" spans="1:47" s="345" customFormat="1" ht="24.75">
      <c r="A25" s="410" t="s">
        <v>206</v>
      </c>
      <c r="B25" s="420" t="s">
        <v>207</v>
      </c>
      <c r="C25" s="421">
        <v>9743824</v>
      </c>
      <c r="D25" s="422">
        <v>1125462</v>
      </c>
      <c r="E25" s="423">
        <v>11600</v>
      </c>
      <c r="F25" s="440">
        <f t="shared" si="0"/>
        <v>10880886</v>
      </c>
      <c r="G25" s="424">
        <v>0</v>
      </c>
      <c r="H25" s="425">
        <v>57400</v>
      </c>
      <c r="I25" s="425">
        <v>936190</v>
      </c>
      <c r="J25" s="425">
        <v>0</v>
      </c>
      <c r="K25" s="425">
        <v>0</v>
      </c>
      <c r="L25" s="425">
        <v>0</v>
      </c>
      <c r="M25" s="425">
        <v>0</v>
      </c>
      <c r="N25" s="425">
        <v>0</v>
      </c>
      <c r="O25" s="425">
        <v>0</v>
      </c>
      <c r="P25" s="425">
        <v>0</v>
      </c>
      <c r="Q25" s="422">
        <v>0</v>
      </c>
      <c r="R25" s="422">
        <v>0</v>
      </c>
      <c r="S25" s="433">
        <f t="shared" si="1"/>
        <v>11874476</v>
      </c>
      <c r="T25" s="415">
        <v>10880886</v>
      </c>
      <c r="U25" s="416">
        <v>0</v>
      </c>
      <c r="V25" s="416">
        <v>2400</v>
      </c>
      <c r="W25" s="416">
        <v>1030000</v>
      </c>
      <c r="X25" s="416">
        <v>0</v>
      </c>
      <c r="Y25" s="416">
        <v>0</v>
      </c>
      <c r="Z25" s="416">
        <v>0</v>
      </c>
      <c r="AA25" s="416">
        <v>0</v>
      </c>
      <c r="AB25" s="416">
        <v>0</v>
      </c>
      <c r="AC25" s="416">
        <v>0</v>
      </c>
      <c r="AD25" s="416">
        <v>0</v>
      </c>
      <c r="AE25" s="416">
        <v>0</v>
      </c>
      <c r="AF25" s="417">
        <v>0</v>
      </c>
      <c r="AG25" s="429">
        <f t="shared" si="2"/>
        <v>11913286</v>
      </c>
      <c r="AH25" s="418">
        <f t="shared" si="3"/>
        <v>38810</v>
      </c>
      <c r="AI25" s="419">
        <v>1470000</v>
      </c>
      <c r="AJ25" s="417">
        <v>-1508810</v>
      </c>
      <c r="AK25" s="418">
        <f t="shared" si="4"/>
        <v>0</v>
      </c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</row>
    <row r="26" spans="1:47" s="345" customFormat="1">
      <c r="A26" s="410" t="s">
        <v>208</v>
      </c>
      <c r="B26" s="420" t="s">
        <v>170</v>
      </c>
      <c r="C26" s="421">
        <v>10758079</v>
      </c>
      <c r="D26" s="422">
        <v>9521160</v>
      </c>
      <c r="E26" s="423">
        <v>0</v>
      </c>
      <c r="F26" s="440">
        <f t="shared" si="0"/>
        <v>20279239</v>
      </c>
      <c r="G26" s="424">
        <v>23000913</v>
      </c>
      <c r="H26" s="425">
        <v>610000</v>
      </c>
      <c r="I26" s="425">
        <v>9039000</v>
      </c>
      <c r="J26" s="425">
        <v>0</v>
      </c>
      <c r="K26" s="425">
        <f>8924681-1</f>
        <v>8924680</v>
      </c>
      <c r="L26" s="425">
        <v>0</v>
      </c>
      <c r="M26" s="425">
        <v>0</v>
      </c>
      <c r="N26" s="425">
        <v>75839669</v>
      </c>
      <c r="O26" s="425">
        <v>0</v>
      </c>
      <c r="P26" s="425">
        <v>0</v>
      </c>
      <c r="Q26" s="422">
        <v>0</v>
      </c>
      <c r="R26" s="423">
        <v>0</v>
      </c>
      <c r="S26" s="433">
        <f t="shared" si="1"/>
        <v>137693501</v>
      </c>
      <c r="T26" s="415">
        <v>20279239</v>
      </c>
      <c r="U26" s="416">
        <v>23000913</v>
      </c>
      <c r="V26" s="416">
        <v>610000</v>
      </c>
      <c r="W26" s="416">
        <v>5000000</v>
      </c>
      <c r="X26" s="416">
        <v>0</v>
      </c>
      <c r="Y26" s="416">
        <f>1970571-2</f>
        <v>1970569</v>
      </c>
      <c r="Z26" s="416">
        <v>0</v>
      </c>
      <c r="AA26" s="416">
        <v>0</v>
      </c>
      <c r="AB26" s="416">
        <v>75839669</v>
      </c>
      <c r="AC26" s="416">
        <v>0</v>
      </c>
      <c r="AD26" s="416">
        <v>0</v>
      </c>
      <c r="AE26" s="416">
        <v>0</v>
      </c>
      <c r="AF26" s="417">
        <v>0</v>
      </c>
      <c r="AG26" s="429">
        <f t="shared" si="2"/>
        <v>126700390</v>
      </c>
      <c r="AH26" s="418">
        <f t="shared" si="3"/>
        <v>-10993111</v>
      </c>
      <c r="AI26" s="419">
        <v>19504620</v>
      </c>
      <c r="AJ26" s="417">
        <v>-8511509</v>
      </c>
      <c r="AK26" s="418">
        <f t="shared" si="4"/>
        <v>0</v>
      </c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</row>
    <row r="27" spans="1:47">
      <c r="A27" s="315" t="s">
        <v>211</v>
      </c>
      <c r="B27" s="337" t="s">
        <v>169</v>
      </c>
      <c r="C27" s="398">
        <v>4485106.63</v>
      </c>
      <c r="D27" s="399">
        <v>323925.77</v>
      </c>
      <c r="E27" s="400">
        <v>0</v>
      </c>
      <c r="F27" s="439">
        <f t="shared" si="0"/>
        <v>4809032.4000000004</v>
      </c>
      <c r="G27" s="367">
        <v>0</v>
      </c>
      <c r="H27" s="343">
        <v>85000</v>
      </c>
      <c r="I27" s="343">
        <v>967764</v>
      </c>
      <c r="J27" s="343">
        <v>0</v>
      </c>
      <c r="K27" s="343">
        <v>3771132</v>
      </c>
      <c r="L27" s="343">
        <v>0</v>
      </c>
      <c r="M27" s="343">
        <v>0</v>
      </c>
      <c r="N27" s="343">
        <v>0</v>
      </c>
      <c r="O27" s="343">
        <v>120000</v>
      </c>
      <c r="P27" s="343">
        <v>0</v>
      </c>
      <c r="Q27" s="399">
        <v>0</v>
      </c>
      <c r="R27" s="400">
        <v>0</v>
      </c>
      <c r="S27" s="433">
        <f t="shared" si="1"/>
        <v>9752928.4000000004</v>
      </c>
      <c r="T27" s="385">
        <v>4809032.4000000004</v>
      </c>
      <c r="U27" s="386">
        <v>0</v>
      </c>
      <c r="V27" s="386">
        <v>85000</v>
      </c>
      <c r="W27" s="386">
        <v>817764</v>
      </c>
      <c r="X27" s="386">
        <v>0</v>
      </c>
      <c r="Y27" s="386">
        <v>3771132</v>
      </c>
      <c r="Z27" s="386">
        <v>0</v>
      </c>
      <c r="AA27" s="386">
        <v>0</v>
      </c>
      <c r="AB27" s="386">
        <v>0</v>
      </c>
      <c r="AC27" s="386">
        <v>120000</v>
      </c>
      <c r="AD27" s="386">
        <v>0</v>
      </c>
      <c r="AE27" s="386">
        <v>0</v>
      </c>
      <c r="AF27" s="387">
        <v>0</v>
      </c>
      <c r="AG27" s="429">
        <f t="shared" si="2"/>
        <v>9602928.4000000004</v>
      </c>
      <c r="AH27" s="380">
        <f t="shared" si="3"/>
        <v>-150000</v>
      </c>
      <c r="AI27" s="388">
        <v>150000</v>
      </c>
      <c r="AJ27" s="387">
        <v>0</v>
      </c>
      <c r="AK27" s="380">
        <f t="shared" si="4"/>
        <v>0</v>
      </c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</row>
    <row r="28" spans="1:47">
      <c r="A28" s="315" t="s">
        <v>212</v>
      </c>
      <c r="B28" s="337" t="s">
        <v>209</v>
      </c>
      <c r="C28" s="398">
        <v>0</v>
      </c>
      <c r="D28" s="399">
        <v>0</v>
      </c>
      <c r="E28" s="400">
        <v>0</v>
      </c>
      <c r="F28" s="439">
        <f t="shared" si="0"/>
        <v>0</v>
      </c>
      <c r="G28" s="343">
        <v>0</v>
      </c>
      <c r="H28" s="343">
        <v>25210000</v>
      </c>
      <c r="I28" s="343">
        <v>16900000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99">
        <v>0</v>
      </c>
      <c r="R28" s="399">
        <v>0</v>
      </c>
      <c r="S28" s="433">
        <f t="shared" si="1"/>
        <v>42110000</v>
      </c>
      <c r="T28" s="385">
        <v>0</v>
      </c>
      <c r="U28" s="386">
        <v>0</v>
      </c>
      <c r="V28" s="386">
        <v>25210000</v>
      </c>
      <c r="W28" s="386">
        <v>16900000</v>
      </c>
      <c r="X28" s="386">
        <v>0</v>
      </c>
      <c r="Y28" s="386">
        <v>0</v>
      </c>
      <c r="Z28" s="386">
        <v>0</v>
      </c>
      <c r="AA28" s="386">
        <v>0</v>
      </c>
      <c r="AB28" s="386">
        <v>0</v>
      </c>
      <c r="AC28" s="386">
        <v>0</v>
      </c>
      <c r="AD28" s="386">
        <v>0</v>
      </c>
      <c r="AE28" s="386">
        <v>0</v>
      </c>
      <c r="AF28" s="387">
        <v>0</v>
      </c>
      <c r="AG28" s="429">
        <f t="shared" si="2"/>
        <v>42110000</v>
      </c>
      <c r="AH28" s="380">
        <f t="shared" si="3"/>
        <v>0</v>
      </c>
      <c r="AI28" s="380">
        <f t="shared" ref="AI28:AI30" si="5">AH28-T28</f>
        <v>0</v>
      </c>
      <c r="AJ28" s="436">
        <f t="shared" ref="AJ28:AJ30" si="6">AI28-U28</f>
        <v>0</v>
      </c>
      <c r="AK28" s="380">
        <f t="shared" si="4"/>
        <v>0</v>
      </c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</row>
    <row r="29" spans="1:47" ht="24.75">
      <c r="A29" s="315" t="s">
        <v>213</v>
      </c>
      <c r="B29" s="337" t="s">
        <v>210</v>
      </c>
      <c r="C29" s="398">
        <v>0</v>
      </c>
      <c r="D29" s="399">
        <v>0</v>
      </c>
      <c r="E29" s="400">
        <v>0</v>
      </c>
      <c r="F29" s="439">
        <f t="shared" si="0"/>
        <v>0</v>
      </c>
      <c r="G29" s="343">
        <v>0</v>
      </c>
      <c r="H29" s="343">
        <v>2600000</v>
      </c>
      <c r="I29" s="343">
        <v>1600000</v>
      </c>
      <c r="J29" s="343">
        <v>0</v>
      </c>
      <c r="K29" s="343">
        <v>0</v>
      </c>
      <c r="L29" s="343">
        <v>0</v>
      </c>
      <c r="M29" s="343">
        <v>0</v>
      </c>
      <c r="N29" s="343">
        <v>0</v>
      </c>
      <c r="O29" s="343">
        <v>0</v>
      </c>
      <c r="P29" s="343">
        <v>0</v>
      </c>
      <c r="Q29" s="399">
        <v>0</v>
      </c>
      <c r="R29" s="399">
        <v>0</v>
      </c>
      <c r="S29" s="433">
        <f t="shared" si="1"/>
        <v>4200000</v>
      </c>
      <c r="T29" s="385">
        <v>0</v>
      </c>
      <c r="U29" s="386">
        <v>0</v>
      </c>
      <c r="V29" s="386">
        <v>2600000</v>
      </c>
      <c r="W29" s="386">
        <v>1600000</v>
      </c>
      <c r="X29" s="386">
        <v>0</v>
      </c>
      <c r="Y29" s="386">
        <v>0</v>
      </c>
      <c r="Z29" s="386">
        <v>0</v>
      </c>
      <c r="AA29" s="386">
        <v>0</v>
      </c>
      <c r="AB29" s="386">
        <v>0</v>
      </c>
      <c r="AC29" s="386">
        <v>0</v>
      </c>
      <c r="AD29" s="386">
        <v>0</v>
      </c>
      <c r="AE29" s="386">
        <v>0</v>
      </c>
      <c r="AF29" s="387">
        <v>0</v>
      </c>
      <c r="AG29" s="429">
        <f t="shared" si="2"/>
        <v>4200000</v>
      </c>
      <c r="AH29" s="380">
        <f t="shared" si="3"/>
        <v>0</v>
      </c>
      <c r="AI29" s="380">
        <f t="shared" si="5"/>
        <v>0</v>
      </c>
      <c r="AJ29" s="436">
        <f t="shared" si="6"/>
        <v>0</v>
      </c>
      <c r="AK29" s="380">
        <f t="shared" si="4"/>
        <v>0</v>
      </c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</row>
    <row r="30" spans="1:47" ht="25.5" thickBot="1">
      <c r="A30" s="291" t="s">
        <v>740</v>
      </c>
      <c r="B30" s="338" t="s">
        <v>741</v>
      </c>
      <c r="C30" s="398">
        <v>0</v>
      </c>
      <c r="D30" s="399">
        <v>0</v>
      </c>
      <c r="E30" s="400">
        <v>0</v>
      </c>
      <c r="F30" s="441">
        <f t="shared" si="0"/>
        <v>0</v>
      </c>
      <c r="G30" s="343">
        <v>0</v>
      </c>
      <c r="H30" s="343">
        <v>0</v>
      </c>
      <c r="I30" s="343">
        <v>0</v>
      </c>
      <c r="J30" s="343">
        <v>0</v>
      </c>
      <c r="K30" s="343">
        <v>0</v>
      </c>
      <c r="L30" s="343">
        <v>0</v>
      </c>
      <c r="M30" s="343">
        <v>0</v>
      </c>
      <c r="N30" s="343">
        <v>0</v>
      </c>
      <c r="O30" s="343">
        <v>0</v>
      </c>
      <c r="P30" s="343">
        <v>0</v>
      </c>
      <c r="Q30" s="399">
        <v>0</v>
      </c>
      <c r="R30" s="399">
        <v>0</v>
      </c>
      <c r="S30" s="434">
        <f t="shared" si="1"/>
        <v>0</v>
      </c>
      <c r="T30" s="401">
        <v>0</v>
      </c>
      <c r="U30" s="402">
        <v>0</v>
      </c>
      <c r="V30" s="402">
        <v>0</v>
      </c>
      <c r="W30" s="402">
        <v>0</v>
      </c>
      <c r="X30" s="402">
        <v>0</v>
      </c>
      <c r="Y30" s="402">
        <v>0</v>
      </c>
      <c r="Z30" s="402">
        <v>0</v>
      </c>
      <c r="AA30" s="402">
        <v>0</v>
      </c>
      <c r="AB30" s="402">
        <v>0</v>
      </c>
      <c r="AC30" s="402">
        <v>0</v>
      </c>
      <c r="AD30" s="402">
        <v>0</v>
      </c>
      <c r="AE30" s="402">
        <v>0</v>
      </c>
      <c r="AF30" s="403">
        <v>0</v>
      </c>
      <c r="AG30" s="429">
        <f t="shared" si="2"/>
        <v>0</v>
      </c>
      <c r="AH30" s="380">
        <f t="shared" si="3"/>
        <v>0</v>
      </c>
      <c r="AI30" s="380">
        <f t="shared" si="5"/>
        <v>0</v>
      </c>
      <c r="AJ30" s="436">
        <f t="shared" si="6"/>
        <v>0</v>
      </c>
      <c r="AK30" s="380">
        <f t="shared" si="4"/>
        <v>0</v>
      </c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</row>
    <row r="31" spans="1:47" s="330" customFormat="1" ht="27" customHeight="1" thickBot="1">
      <c r="A31" s="595" t="s">
        <v>171</v>
      </c>
      <c r="B31" s="596"/>
      <c r="C31" s="404">
        <f>SUM(C9:C30)</f>
        <v>327541416.42000002</v>
      </c>
      <c r="D31" s="405">
        <f t="shared" ref="D31:E31" si="7">SUM(D9:D30)</f>
        <v>44941084.399999999</v>
      </c>
      <c r="E31" s="406">
        <f t="shared" si="7"/>
        <v>160240</v>
      </c>
      <c r="F31" s="407">
        <f>SUM(F9:F30)</f>
        <v>372642740.81999993</v>
      </c>
      <c r="G31" s="404">
        <f t="shared" ref="G31:AH31" si="8">SUM(G9:G30)</f>
        <v>23932632.260000002</v>
      </c>
      <c r="H31" s="405">
        <f t="shared" si="8"/>
        <v>44630513</v>
      </c>
      <c r="I31" s="405">
        <f t="shared" si="8"/>
        <v>117404382</v>
      </c>
      <c r="J31" s="405">
        <f t="shared" si="8"/>
        <v>6061290</v>
      </c>
      <c r="K31" s="405">
        <f t="shared" si="8"/>
        <v>28175781.060000002</v>
      </c>
      <c r="L31" s="405">
        <f t="shared" si="8"/>
        <v>0</v>
      </c>
      <c r="M31" s="405">
        <f t="shared" si="8"/>
        <v>4664019.8499999996</v>
      </c>
      <c r="N31" s="405">
        <f t="shared" si="8"/>
        <v>77293271.620000005</v>
      </c>
      <c r="O31" s="405">
        <f t="shared" si="8"/>
        <v>3856683</v>
      </c>
      <c r="P31" s="405">
        <f t="shared" si="8"/>
        <v>0</v>
      </c>
      <c r="Q31" s="405">
        <f t="shared" si="8"/>
        <v>24600</v>
      </c>
      <c r="R31" s="406">
        <f t="shared" si="8"/>
        <v>0</v>
      </c>
      <c r="S31" s="408">
        <f t="shared" si="8"/>
        <v>678685913.61000001</v>
      </c>
      <c r="T31" s="404">
        <f t="shared" si="8"/>
        <v>372642740.81999993</v>
      </c>
      <c r="U31" s="405">
        <f t="shared" si="8"/>
        <v>23932632.260000002</v>
      </c>
      <c r="V31" s="405">
        <f t="shared" si="8"/>
        <v>42968630</v>
      </c>
      <c r="W31" s="405">
        <f t="shared" si="8"/>
        <v>98510150</v>
      </c>
      <c r="X31" s="405">
        <f t="shared" si="8"/>
        <v>4806290</v>
      </c>
      <c r="Y31" s="405">
        <f t="shared" si="8"/>
        <v>21051670.060000002</v>
      </c>
      <c r="Z31" s="405">
        <f t="shared" si="8"/>
        <v>0</v>
      </c>
      <c r="AA31" s="405">
        <f t="shared" si="8"/>
        <v>4664019.8499999996</v>
      </c>
      <c r="AB31" s="405">
        <f t="shared" si="8"/>
        <v>77293271.620000005</v>
      </c>
      <c r="AC31" s="405">
        <f t="shared" si="8"/>
        <v>3705413</v>
      </c>
      <c r="AD31" s="405">
        <f t="shared" si="8"/>
        <v>0</v>
      </c>
      <c r="AE31" s="405">
        <f t="shared" si="8"/>
        <v>27600</v>
      </c>
      <c r="AF31" s="406">
        <f t="shared" si="8"/>
        <v>0</v>
      </c>
      <c r="AG31" s="407">
        <f t="shared" si="8"/>
        <v>649602417.6099999</v>
      </c>
      <c r="AH31" s="407">
        <f t="shared" si="8"/>
        <v>-29083496.000000007</v>
      </c>
      <c r="AI31" s="404">
        <f>SUM(AI9:AI30)</f>
        <v>116435471</v>
      </c>
      <c r="AJ31" s="437">
        <f t="shared" ref="AJ31:AK31" si="9">SUM(AJ9:AJ30)</f>
        <v>-87351975</v>
      </c>
      <c r="AK31" s="407">
        <f t="shared" si="9"/>
        <v>-3.7252902984619141E-9</v>
      </c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</row>
    <row r="32" spans="1:47">
      <c r="F32" s="4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409"/>
      <c r="R32" s="409"/>
      <c r="S32" s="430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30"/>
      <c r="AH32" s="409"/>
      <c r="AI32" s="409"/>
      <c r="AJ32" s="409"/>
      <c r="AK32" s="409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</row>
    <row r="33" spans="6:47">
      <c r="F33" s="4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409"/>
      <c r="R33" s="409"/>
      <c r="S33" s="430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30"/>
      <c r="AH33" s="409"/>
      <c r="AI33" s="409"/>
      <c r="AJ33" s="409"/>
      <c r="AK33" s="409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</row>
    <row r="34" spans="6:47">
      <c r="F34" s="4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409"/>
      <c r="R34" s="409"/>
      <c r="S34" s="430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30"/>
      <c r="AH34" s="409"/>
      <c r="AI34" s="409"/>
      <c r="AJ34" s="409"/>
      <c r="AK34" s="409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</row>
    <row r="35" spans="6:47">
      <c r="F35" s="4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4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4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</row>
    <row r="36" spans="6:47">
      <c r="F36" s="4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4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4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</row>
    <row r="37" spans="6:47">
      <c r="F37" s="4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4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4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</row>
    <row r="38" spans="6:47">
      <c r="F38" s="4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4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4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</row>
    <row r="39" spans="6:47">
      <c r="F39" s="4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4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4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</row>
    <row r="40" spans="6:47">
      <c r="F40" s="4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4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4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</row>
    <row r="41" spans="6:47">
      <c r="F41" s="4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4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4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</row>
    <row r="42" spans="6:47">
      <c r="F42" s="4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4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4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</row>
    <row r="43" spans="6:47">
      <c r="F43" s="4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4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4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</row>
    <row r="44" spans="6:47">
      <c r="F44" s="4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4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4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</row>
    <row r="45" spans="6:47">
      <c r="F45" s="4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4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4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</row>
    <row r="46" spans="6:47">
      <c r="F46" s="4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4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4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</row>
    <row r="47" spans="6:47">
      <c r="F47" s="4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4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4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</row>
    <row r="48" spans="6:47">
      <c r="F48" s="4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4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4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</row>
    <row r="49" spans="6:47">
      <c r="F49" s="4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4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4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</row>
  </sheetData>
  <mergeCells count="13">
    <mergeCell ref="A2:S2"/>
    <mergeCell ref="C5:E6"/>
    <mergeCell ref="A31:B31"/>
    <mergeCell ref="F5:R6"/>
    <mergeCell ref="AG5:AG8"/>
    <mergeCell ref="A5:A8"/>
    <mergeCell ref="B5:B8"/>
    <mergeCell ref="AK5:AK8"/>
    <mergeCell ref="AI5:AI8"/>
    <mergeCell ref="AJ5:AJ8"/>
    <mergeCell ref="S5:S8"/>
    <mergeCell ref="T5:AF6"/>
    <mergeCell ref="AH5:AH8"/>
  </mergeCells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opći dio</vt:lpstr>
      <vt:lpstr>Plan za unos u SAP</vt:lpstr>
      <vt:lpstr>prihodi i primici</vt:lpstr>
      <vt:lpstr>rashodi i izdaci</vt:lpstr>
      <vt:lpstr>Pregled po sastavnicama</vt:lpstr>
      <vt:lpstr>sastavnice-po izvorima</vt:lpstr>
      <vt:lpstr>'Plan za unos u SAP'!Print_Area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milicic</cp:lastModifiedBy>
  <cp:lastPrinted>2020-11-10T20:53:28Z</cp:lastPrinted>
  <dcterms:created xsi:type="dcterms:W3CDTF">2018-09-10T07:36:17Z</dcterms:created>
  <dcterms:modified xsi:type="dcterms:W3CDTF">2020-12-21T12:57:48Z</dcterms:modified>
</cp:coreProperties>
</file>